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DOC\GpUtpl\"/>
    </mc:Choice>
  </mc:AlternateContent>
  <bookViews>
    <workbookView xWindow="480" yWindow="180" windowWidth="8115" windowHeight="8955" activeTab="2"/>
  </bookViews>
  <sheets>
    <sheet name="Cuenca Rio Guayllabamba" sheetId="1" r:id="rId1"/>
    <sheet name="Cuenca Rio Chico" sheetId="4" r:id="rId2"/>
    <sheet name="Cuenca Rio Chico FINAL" sheetId="7" r:id="rId3"/>
    <sheet name="Hoja2" sheetId="2" r:id="rId4"/>
    <sheet name="Hoja3" sheetId="3" r:id="rId5"/>
  </sheets>
  <calcPr calcId="152511"/>
</workbook>
</file>

<file path=xl/calcChain.xml><?xml version="1.0" encoding="utf-8"?>
<calcChain xmlns="http://schemas.openxmlformats.org/spreadsheetml/2006/main">
  <c r="P82" i="7" l="1"/>
  <c r="H82" i="7"/>
  <c r="G82" i="7"/>
  <c r="F82" i="7"/>
  <c r="E84" i="7"/>
  <c r="F85" i="7"/>
  <c r="E82" i="7"/>
  <c r="F84" i="7"/>
  <c r="I82" i="7" l="1"/>
  <c r="M85" i="7"/>
  <c r="M83" i="7"/>
  <c r="N83" i="7" s="1"/>
  <c r="I83" i="7" s="1"/>
  <c r="M84" i="7"/>
  <c r="M86" i="7"/>
  <c r="I96" i="7" l="1"/>
  <c r="L32" i="7" l="1"/>
  <c r="G366" i="7" l="1"/>
  <c r="G365" i="7"/>
  <c r="G364" i="7"/>
  <c r="G363" i="7"/>
  <c r="G362" i="7"/>
  <c r="G361" i="7"/>
  <c r="G360" i="7"/>
  <c r="G359" i="7"/>
  <c r="G358" i="7"/>
  <c r="G357" i="7"/>
  <c r="G356" i="7"/>
  <c r="P355" i="7"/>
  <c r="P356" i="7" s="1"/>
  <c r="G355" i="7"/>
  <c r="G353" i="7"/>
  <c r="G352" i="7"/>
  <c r="G351" i="7"/>
  <c r="G350" i="7"/>
  <c r="G349" i="7"/>
  <c r="G348" i="7"/>
  <c r="G347" i="7"/>
  <c r="G346" i="7"/>
  <c r="G345" i="7"/>
  <c r="G344" i="7"/>
  <c r="G343" i="7"/>
  <c r="P342" i="7"/>
  <c r="P343" i="7" s="1"/>
  <c r="G342" i="7"/>
  <c r="G340" i="7"/>
  <c r="G339" i="7"/>
  <c r="G338" i="7"/>
  <c r="G337" i="7"/>
  <c r="G336" i="7"/>
  <c r="G335" i="7"/>
  <c r="G334" i="7"/>
  <c r="G333" i="7"/>
  <c r="G332" i="7"/>
  <c r="G331" i="7"/>
  <c r="G330" i="7"/>
  <c r="P329" i="7"/>
  <c r="P330" i="7" s="1"/>
  <c r="G329" i="7"/>
  <c r="G327" i="7"/>
  <c r="G326" i="7"/>
  <c r="G325" i="7"/>
  <c r="G324" i="7"/>
  <c r="G323" i="7"/>
  <c r="G322" i="7"/>
  <c r="G321" i="7"/>
  <c r="G320" i="7"/>
  <c r="G319" i="7"/>
  <c r="G318" i="7"/>
  <c r="G317" i="7"/>
  <c r="P316" i="7"/>
  <c r="P317" i="7" s="1"/>
  <c r="G316" i="7"/>
  <c r="G314" i="7"/>
  <c r="G313" i="7"/>
  <c r="G312" i="7"/>
  <c r="G311" i="7"/>
  <c r="G310" i="7"/>
  <c r="G309" i="7"/>
  <c r="G308" i="7"/>
  <c r="G307" i="7"/>
  <c r="G306" i="7"/>
  <c r="G305" i="7"/>
  <c r="G304" i="7"/>
  <c r="P303" i="7"/>
  <c r="P304" i="7" s="1"/>
  <c r="G303" i="7"/>
  <c r="G301" i="7"/>
  <c r="G300" i="7"/>
  <c r="G299" i="7"/>
  <c r="G298" i="7"/>
  <c r="G297" i="7"/>
  <c r="G296" i="7"/>
  <c r="G295" i="7"/>
  <c r="G294" i="7"/>
  <c r="G293" i="7"/>
  <c r="G292" i="7"/>
  <c r="G291" i="7"/>
  <c r="P290" i="7"/>
  <c r="P291" i="7" s="1"/>
  <c r="G290" i="7"/>
  <c r="G288" i="7"/>
  <c r="G287" i="7"/>
  <c r="G286" i="7"/>
  <c r="G285" i="7"/>
  <c r="G284" i="7"/>
  <c r="G283" i="7"/>
  <c r="G282" i="7"/>
  <c r="G281" i="7"/>
  <c r="G280" i="7"/>
  <c r="G279" i="7"/>
  <c r="G278" i="7"/>
  <c r="P277" i="7"/>
  <c r="P278" i="7" s="1"/>
  <c r="G277" i="7"/>
  <c r="G275" i="7"/>
  <c r="G274" i="7"/>
  <c r="G273" i="7"/>
  <c r="G272" i="7"/>
  <c r="G271" i="7"/>
  <c r="G270" i="7"/>
  <c r="G269" i="7"/>
  <c r="G268" i="7"/>
  <c r="G267" i="7"/>
  <c r="G266" i="7"/>
  <c r="G265" i="7"/>
  <c r="P264" i="7"/>
  <c r="P265" i="7" s="1"/>
  <c r="G264" i="7"/>
  <c r="G262" i="7"/>
  <c r="G261" i="7"/>
  <c r="G260" i="7"/>
  <c r="G259" i="7"/>
  <c r="G258" i="7"/>
  <c r="G257" i="7"/>
  <c r="G256" i="7"/>
  <c r="G255" i="7"/>
  <c r="G254" i="7"/>
  <c r="G253" i="7"/>
  <c r="G252" i="7"/>
  <c r="P251" i="7"/>
  <c r="P252" i="7" s="1"/>
  <c r="G251" i="7"/>
  <c r="G249" i="7"/>
  <c r="G248" i="7"/>
  <c r="G247" i="7"/>
  <c r="G246" i="7"/>
  <c r="G245" i="7"/>
  <c r="G244" i="7"/>
  <c r="G243" i="7"/>
  <c r="G242" i="7"/>
  <c r="G241" i="7"/>
  <c r="G240" i="7"/>
  <c r="G239" i="7"/>
  <c r="P238" i="7"/>
  <c r="P239" i="7" s="1"/>
  <c r="G238" i="7"/>
  <c r="G236" i="7"/>
  <c r="G235" i="7"/>
  <c r="G234" i="7"/>
  <c r="G233" i="7"/>
  <c r="G232" i="7"/>
  <c r="G231" i="7"/>
  <c r="G230" i="7"/>
  <c r="G229" i="7"/>
  <c r="G228" i="7"/>
  <c r="G227" i="7"/>
  <c r="G226" i="7"/>
  <c r="P225" i="7"/>
  <c r="P226" i="7" s="1"/>
  <c r="G225" i="7"/>
  <c r="G223" i="7"/>
  <c r="G222" i="7"/>
  <c r="G221" i="7"/>
  <c r="G220" i="7"/>
  <c r="G219" i="7"/>
  <c r="G218" i="7"/>
  <c r="G217" i="7"/>
  <c r="G216" i="7"/>
  <c r="G215" i="7"/>
  <c r="G214" i="7"/>
  <c r="G213" i="7"/>
  <c r="P212" i="7"/>
  <c r="P213" i="7" s="1"/>
  <c r="G212" i="7"/>
  <c r="G210" i="7"/>
  <c r="G209" i="7"/>
  <c r="G208" i="7"/>
  <c r="G207" i="7"/>
  <c r="G206" i="7"/>
  <c r="G205" i="7"/>
  <c r="G204" i="7"/>
  <c r="G203" i="7"/>
  <c r="G202" i="7"/>
  <c r="G201" i="7"/>
  <c r="G200" i="7"/>
  <c r="P199" i="7"/>
  <c r="P200" i="7" s="1"/>
  <c r="G199" i="7"/>
  <c r="G197" i="7"/>
  <c r="G196" i="7"/>
  <c r="G195" i="7"/>
  <c r="G194" i="7"/>
  <c r="G193" i="7"/>
  <c r="G192" i="7"/>
  <c r="G191" i="7"/>
  <c r="G190" i="7"/>
  <c r="G189" i="7"/>
  <c r="G188" i="7"/>
  <c r="G187" i="7"/>
  <c r="P186" i="7"/>
  <c r="P187" i="7" s="1"/>
  <c r="G186" i="7"/>
  <c r="G184" i="7"/>
  <c r="G183" i="7"/>
  <c r="G182" i="7"/>
  <c r="G181" i="7"/>
  <c r="G180" i="7"/>
  <c r="G179" i="7"/>
  <c r="G178" i="7"/>
  <c r="G177" i="7"/>
  <c r="G176" i="7"/>
  <c r="G175" i="7"/>
  <c r="G174" i="7"/>
  <c r="P173" i="7"/>
  <c r="P174" i="7" s="1"/>
  <c r="G173" i="7"/>
  <c r="G171" i="7"/>
  <c r="G170" i="7"/>
  <c r="G169" i="7"/>
  <c r="G168" i="7"/>
  <c r="G167" i="7"/>
  <c r="G166" i="7"/>
  <c r="G165" i="7"/>
  <c r="G164" i="7"/>
  <c r="G163" i="7"/>
  <c r="G162" i="7"/>
  <c r="G161" i="7"/>
  <c r="P160" i="7"/>
  <c r="P161" i="7" s="1"/>
  <c r="G160" i="7"/>
  <c r="G158" i="7"/>
  <c r="F158" i="7"/>
  <c r="G157" i="7"/>
  <c r="F157" i="7"/>
  <c r="G156" i="7"/>
  <c r="F156" i="7"/>
  <c r="G155" i="7"/>
  <c r="F155" i="7"/>
  <c r="G154" i="7"/>
  <c r="F154" i="7"/>
  <c r="G153" i="7"/>
  <c r="F153" i="7"/>
  <c r="G152" i="7"/>
  <c r="F152" i="7"/>
  <c r="G151" i="7"/>
  <c r="F151" i="7"/>
  <c r="G150" i="7"/>
  <c r="F150" i="7"/>
  <c r="G149" i="7"/>
  <c r="F149" i="7"/>
  <c r="G148" i="7"/>
  <c r="F148" i="7"/>
  <c r="P147" i="7"/>
  <c r="P148" i="7" s="1"/>
  <c r="G147" i="7"/>
  <c r="F147" i="7"/>
  <c r="G145" i="7"/>
  <c r="F145" i="7"/>
  <c r="G144" i="7"/>
  <c r="F144" i="7"/>
  <c r="G143" i="7"/>
  <c r="F143" i="7"/>
  <c r="G142" i="7"/>
  <c r="F142" i="7"/>
  <c r="G141" i="7"/>
  <c r="F141" i="7"/>
  <c r="G140" i="7"/>
  <c r="F140" i="7"/>
  <c r="G139" i="7"/>
  <c r="F139" i="7"/>
  <c r="G138" i="7"/>
  <c r="F138" i="7"/>
  <c r="G137" i="7"/>
  <c r="F137" i="7"/>
  <c r="G136" i="7"/>
  <c r="F136" i="7"/>
  <c r="G135" i="7"/>
  <c r="F135" i="7"/>
  <c r="P134" i="7"/>
  <c r="P135" i="7" s="1"/>
  <c r="G134" i="7"/>
  <c r="F134" i="7"/>
  <c r="G132" i="7"/>
  <c r="F132" i="7"/>
  <c r="G131" i="7"/>
  <c r="F131" i="7"/>
  <c r="G130" i="7"/>
  <c r="F130" i="7"/>
  <c r="G129" i="7"/>
  <c r="F129" i="7"/>
  <c r="G128" i="7"/>
  <c r="F128" i="7"/>
  <c r="G127" i="7"/>
  <c r="F127" i="7"/>
  <c r="G126" i="7"/>
  <c r="F126" i="7"/>
  <c r="G125" i="7"/>
  <c r="F125" i="7"/>
  <c r="G124" i="7"/>
  <c r="F124" i="7"/>
  <c r="G123" i="7"/>
  <c r="F123" i="7"/>
  <c r="G122" i="7"/>
  <c r="F122" i="7"/>
  <c r="P121" i="7"/>
  <c r="P122" i="7" s="1"/>
  <c r="G121" i="7"/>
  <c r="F121" i="7"/>
  <c r="G119" i="7"/>
  <c r="F119" i="7"/>
  <c r="G118" i="7"/>
  <c r="F118" i="7"/>
  <c r="G117" i="7"/>
  <c r="F117" i="7"/>
  <c r="G116" i="7"/>
  <c r="F116" i="7"/>
  <c r="G115" i="7"/>
  <c r="F115" i="7"/>
  <c r="G114" i="7"/>
  <c r="F114" i="7"/>
  <c r="G113" i="7"/>
  <c r="F113" i="7"/>
  <c r="G112" i="7"/>
  <c r="F112" i="7"/>
  <c r="G111" i="7"/>
  <c r="F111" i="7"/>
  <c r="G110" i="7"/>
  <c r="F110" i="7"/>
  <c r="G109" i="7"/>
  <c r="F109" i="7"/>
  <c r="P108" i="7"/>
  <c r="P109" i="7" s="1"/>
  <c r="G108" i="7"/>
  <c r="F108" i="7"/>
  <c r="G106" i="7"/>
  <c r="F106" i="7"/>
  <c r="G105" i="7"/>
  <c r="F105" i="7"/>
  <c r="G104" i="7"/>
  <c r="F104" i="7"/>
  <c r="G103" i="7"/>
  <c r="F103" i="7"/>
  <c r="G102" i="7"/>
  <c r="F102" i="7"/>
  <c r="G101" i="7"/>
  <c r="F101" i="7"/>
  <c r="G100" i="7"/>
  <c r="F100" i="7"/>
  <c r="G99" i="7"/>
  <c r="F99" i="7"/>
  <c r="G98" i="7"/>
  <c r="F98" i="7"/>
  <c r="G97" i="7"/>
  <c r="F97" i="7"/>
  <c r="G96" i="7"/>
  <c r="F96" i="7"/>
  <c r="P95" i="7"/>
  <c r="P96" i="7" s="1"/>
  <c r="G95" i="7"/>
  <c r="F95" i="7"/>
  <c r="G93" i="7"/>
  <c r="F93" i="7"/>
  <c r="G92" i="7"/>
  <c r="F92" i="7"/>
  <c r="G91" i="7"/>
  <c r="F91" i="7"/>
  <c r="G90" i="7"/>
  <c r="F90" i="7"/>
  <c r="G89" i="7"/>
  <c r="F89" i="7"/>
  <c r="G88" i="7"/>
  <c r="F88" i="7"/>
  <c r="G87" i="7"/>
  <c r="F87" i="7"/>
  <c r="G86" i="7"/>
  <c r="F86" i="7"/>
  <c r="G85" i="7"/>
  <c r="G84" i="7"/>
  <c r="G83" i="7"/>
  <c r="F83" i="7"/>
  <c r="P83" i="7"/>
  <c r="G80" i="7"/>
  <c r="G79" i="7"/>
  <c r="G78" i="7"/>
  <c r="G77" i="7"/>
  <c r="G76" i="7"/>
  <c r="G75" i="7"/>
  <c r="G74" i="7"/>
  <c r="G73" i="7"/>
  <c r="G72" i="7"/>
  <c r="G71" i="7"/>
  <c r="G70" i="7"/>
  <c r="P69" i="7"/>
  <c r="P70" i="7" s="1"/>
  <c r="G69" i="7"/>
  <c r="G67" i="7"/>
  <c r="G66" i="7"/>
  <c r="G65" i="7"/>
  <c r="G64" i="7"/>
  <c r="G63" i="7"/>
  <c r="G62" i="7"/>
  <c r="G61" i="7"/>
  <c r="G60" i="7"/>
  <c r="G59" i="7"/>
  <c r="G58" i="7"/>
  <c r="G57" i="7"/>
  <c r="P56" i="7"/>
  <c r="P57" i="7" s="1"/>
  <c r="G56" i="7"/>
  <c r="G54" i="7"/>
  <c r="G53" i="7"/>
  <c r="G52" i="7"/>
  <c r="G51" i="7"/>
  <c r="G50" i="7"/>
  <c r="G49" i="7"/>
  <c r="G48" i="7"/>
  <c r="G47" i="7"/>
  <c r="G46" i="7"/>
  <c r="G45" i="7"/>
  <c r="G44" i="7"/>
  <c r="P43" i="7"/>
  <c r="P44" i="7" s="1"/>
  <c r="G43" i="7"/>
  <c r="G41" i="7"/>
  <c r="G40" i="7"/>
  <c r="G39" i="7"/>
  <c r="G38" i="7"/>
  <c r="P37" i="7"/>
  <c r="K30" i="7" s="1"/>
  <c r="G37" i="7"/>
  <c r="G36" i="7"/>
  <c r="G35" i="7"/>
  <c r="G34" i="7"/>
  <c r="G33" i="7"/>
  <c r="G32" i="7"/>
  <c r="P31" i="7"/>
  <c r="M41" i="7" s="1"/>
  <c r="N41" i="7" s="1"/>
  <c r="I41" i="7" s="1"/>
  <c r="G31" i="7"/>
  <c r="P30" i="7"/>
  <c r="L30" i="7"/>
  <c r="G30" i="7"/>
  <c r="M25" i="7"/>
  <c r="F24" i="7"/>
  <c r="M10" i="7"/>
  <c r="M6" i="7"/>
  <c r="K3" i="7"/>
  <c r="M13" i="7" s="1"/>
  <c r="M2" i="7"/>
  <c r="N84" i="7" l="1"/>
  <c r="M93" i="7"/>
  <c r="N85" i="7"/>
  <c r="I85" i="7" s="1"/>
  <c r="M3" i="7"/>
  <c r="H36" i="7"/>
  <c r="H45" i="7"/>
  <c r="H53" i="7"/>
  <c r="H62" i="7"/>
  <c r="H92" i="7"/>
  <c r="H101" i="7"/>
  <c r="H41" i="7"/>
  <c r="H35" i="7"/>
  <c r="H46" i="7"/>
  <c r="H54" i="7"/>
  <c r="H63" i="7"/>
  <c r="H72" i="7"/>
  <c r="H80" i="7"/>
  <c r="H100" i="7"/>
  <c r="H109" i="7"/>
  <c r="H117" i="7"/>
  <c r="M106" i="7"/>
  <c r="N106" i="7" s="1"/>
  <c r="I106" i="7" s="1"/>
  <c r="M96" i="7"/>
  <c r="N96" i="7" s="1"/>
  <c r="M132" i="7"/>
  <c r="N132" i="7" s="1"/>
  <c r="I132" i="7" s="1"/>
  <c r="M122" i="7"/>
  <c r="N122" i="7" s="1"/>
  <c r="I122" i="7" s="1"/>
  <c r="M5" i="7"/>
  <c r="M8" i="7"/>
  <c r="M12" i="7"/>
  <c r="E109" i="7"/>
  <c r="M31" i="7"/>
  <c r="N31" i="7" s="1"/>
  <c r="I31" i="7" s="1"/>
  <c r="M54" i="7"/>
  <c r="N54" i="7" s="1"/>
  <c r="I54" i="7" s="1"/>
  <c r="M52" i="7"/>
  <c r="N52" i="7" s="1"/>
  <c r="I52" i="7" s="1"/>
  <c r="M50" i="7"/>
  <c r="N50" i="7" s="1"/>
  <c r="I50" i="7" s="1"/>
  <c r="M48" i="7"/>
  <c r="N48" i="7" s="1"/>
  <c r="I48" i="7" s="1"/>
  <c r="M46" i="7"/>
  <c r="N46" i="7" s="1"/>
  <c r="I46" i="7" s="1"/>
  <c r="M53" i="7"/>
  <c r="N53" i="7" s="1"/>
  <c r="I53" i="7" s="1"/>
  <c r="M51" i="7"/>
  <c r="N51" i="7" s="1"/>
  <c r="I51" i="7" s="1"/>
  <c r="M49" i="7"/>
  <c r="N49" i="7" s="1"/>
  <c r="I49" i="7" s="1"/>
  <c r="M47" i="7"/>
  <c r="N47" i="7" s="1"/>
  <c r="I47" i="7" s="1"/>
  <c r="M45" i="7"/>
  <c r="N45" i="7" s="1"/>
  <c r="I45" i="7" s="1"/>
  <c r="M44" i="7"/>
  <c r="N44" i="7" s="1"/>
  <c r="I44" i="7" s="1"/>
  <c r="M43" i="7"/>
  <c r="N43" i="7" s="1"/>
  <c r="I43" i="7" s="1"/>
  <c r="N93" i="7"/>
  <c r="I93" i="7" s="1"/>
  <c r="M91" i="7"/>
  <c r="N91" i="7" s="1"/>
  <c r="I91" i="7" s="1"/>
  <c r="M89" i="7"/>
  <c r="N89" i="7" s="1"/>
  <c r="I89" i="7" s="1"/>
  <c r="M87" i="7"/>
  <c r="N87" i="7" s="1"/>
  <c r="I87" i="7" s="1"/>
  <c r="M92" i="7"/>
  <c r="N92" i="7" s="1"/>
  <c r="I92" i="7" s="1"/>
  <c r="M90" i="7"/>
  <c r="N90" i="7" s="1"/>
  <c r="I90" i="7" s="1"/>
  <c r="M88" i="7"/>
  <c r="N88" i="7" s="1"/>
  <c r="I88" i="7" s="1"/>
  <c r="N86" i="7"/>
  <c r="I86" i="7" s="1"/>
  <c r="M82" i="7"/>
  <c r="N82" i="7" s="1"/>
  <c r="M67" i="7"/>
  <c r="N67" i="7" s="1"/>
  <c r="I67" i="7" s="1"/>
  <c r="M65" i="7"/>
  <c r="N65" i="7" s="1"/>
  <c r="I65" i="7" s="1"/>
  <c r="M63" i="7"/>
  <c r="N63" i="7" s="1"/>
  <c r="I63" i="7" s="1"/>
  <c r="M61" i="7"/>
  <c r="N61" i="7" s="1"/>
  <c r="I61" i="7" s="1"/>
  <c r="M59" i="7"/>
  <c r="N59" i="7" s="1"/>
  <c r="I59" i="7" s="1"/>
  <c r="M66" i="7"/>
  <c r="N66" i="7" s="1"/>
  <c r="I66" i="7" s="1"/>
  <c r="M64" i="7"/>
  <c r="N64" i="7" s="1"/>
  <c r="I64" i="7" s="1"/>
  <c r="M62" i="7"/>
  <c r="N62" i="7" s="1"/>
  <c r="I62" i="7" s="1"/>
  <c r="M60" i="7"/>
  <c r="N60" i="7" s="1"/>
  <c r="I60" i="7" s="1"/>
  <c r="M58" i="7"/>
  <c r="N58" i="7" s="1"/>
  <c r="I58" i="7" s="1"/>
  <c r="M57" i="7"/>
  <c r="N57" i="7" s="1"/>
  <c r="I57" i="7" s="1"/>
  <c r="M56" i="7"/>
  <c r="N56" i="7" s="1"/>
  <c r="I56" i="7" s="1"/>
  <c r="M80" i="7"/>
  <c r="N80" i="7" s="1"/>
  <c r="I80" i="7" s="1"/>
  <c r="M78" i="7"/>
  <c r="N78" i="7" s="1"/>
  <c r="I78" i="7" s="1"/>
  <c r="M76" i="7"/>
  <c r="N76" i="7" s="1"/>
  <c r="I76" i="7" s="1"/>
  <c r="M74" i="7"/>
  <c r="N74" i="7" s="1"/>
  <c r="I74" i="7" s="1"/>
  <c r="M72" i="7"/>
  <c r="N72" i="7" s="1"/>
  <c r="I72" i="7" s="1"/>
  <c r="M79" i="7"/>
  <c r="N79" i="7" s="1"/>
  <c r="I79" i="7" s="1"/>
  <c r="M77" i="7"/>
  <c r="N77" i="7" s="1"/>
  <c r="I77" i="7" s="1"/>
  <c r="M75" i="7"/>
  <c r="N75" i="7" s="1"/>
  <c r="I75" i="7" s="1"/>
  <c r="M73" i="7"/>
  <c r="N73" i="7" s="1"/>
  <c r="I73" i="7" s="1"/>
  <c r="M71" i="7"/>
  <c r="N71" i="7" s="1"/>
  <c r="I71" i="7" s="1"/>
  <c r="M70" i="7"/>
  <c r="N70" i="7" s="1"/>
  <c r="I70" i="7" s="1"/>
  <c r="M69" i="7"/>
  <c r="N69" i="7" s="1"/>
  <c r="I69" i="7" s="1"/>
  <c r="M119" i="7"/>
  <c r="N119" i="7" s="1"/>
  <c r="I119" i="7" s="1"/>
  <c r="M118" i="7"/>
  <c r="N118" i="7" s="1"/>
  <c r="I118" i="7" s="1"/>
  <c r="M117" i="7"/>
  <c r="N117" i="7" s="1"/>
  <c r="I117" i="7" s="1"/>
  <c r="M116" i="7"/>
  <c r="N116" i="7" s="1"/>
  <c r="I116" i="7" s="1"/>
  <c r="M115" i="7"/>
  <c r="N115" i="7" s="1"/>
  <c r="I115" i="7" s="1"/>
  <c r="M114" i="7"/>
  <c r="N114" i="7" s="1"/>
  <c r="I114" i="7" s="1"/>
  <c r="M113" i="7"/>
  <c r="N113" i="7" s="1"/>
  <c r="I113" i="7" s="1"/>
  <c r="M112" i="7"/>
  <c r="N112" i="7" s="1"/>
  <c r="I112" i="7" s="1"/>
  <c r="M111" i="7"/>
  <c r="N111" i="7" s="1"/>
  <c r="I111" i="7" s="1"/>
  <c r="M110" i="7"/>
  <c r="N110" i="7" s="1"/>
  <c r="I110" i="7" s="1"/>
  <c r="M108" i="7"/>
  <c r="N108" i="7" s="1"/>
  <c r="I108" i="7" s="1"/>
  <c r="M109" i="7"/>
  <c r="N109" i="7" s="1"/>
  <c r="I109" i="7" s="1"/>
  <c r="M32" i="7"/>
  <c r="N32" i="7" s="1"/>
  <c r="I32" i="7" s="1"/>
  <c r="M33" i="7"/>
  <c r="N33" i="7" s="1"/>
  <c r="I33" i="7" s="1"/>
  <c r="M34" i="7"/>
  <c r="N34" i="7" s="1"/>
  <c r="I34" i="7" s="1"/>
  <c r="M35" i="7"/>
  <c r="N35" i="7" s="1"/>
  <c r="I35" i="7" s="1"/>
  <c r="M36" i="7"/>
  <c r="N36" i="7" s="1"/>
  <c r="I36" i="7" s="1"/>
  <c r="M37" i="7"/>
  <c r="N37" i="7" s="1"/>
  <c r="I37" i="7" s="1"/>
  <c r="E85" i="7"/>
  <c r="E87" i="7"/>
  <c r="E89" i="7"/>
  <c r="E91" i="7"/>
  <c r="E93" i="7"/>
  <c r="E96" i="7"/>
  <c r="M158" i="7"/>
  <c r="N158" i="7" s="1"/>
  <c r="I158" i="7" s="1"/>
  <c r="M156" i="7"/>
  <c r="N156" i="7" s="1"/>
  <c r="I156" i="7" s="1"/>
  <c r="M154" i="7"/>
  <c r="N154" i="7" s="1"/>
  <c r="I154" i="7" s="1"/>
  <c r="M152" i="7"/>
  <c r="N152" i="7" s="1"/>
  <c r="I152" i="7" s="1"/>
  <c r="M150" i="7"/>
  <c r="N150" i="7" s="1"/>
  <c r="I150" i="7" s="1"/>
  <c r="M157" i="7"/>
  <c r="N157" i="7" s="1"/>
  <c r="I157" i="7" s="1"/>
  <c r="M155" i="7"/>
  <c r="N155" i="7" s="1"/>
  <c r="I155" i="7" s="1"/>
  <c r="M153" i="7"/>
  <c r="N153" i="7" s="1"/>
  <c r="I153" i="7" s="1"/>
  <c r="M151" i="7"/>
  <c r="N151" i="7" s="1"/>
  <c r="I151" i="7" s="1"/>
  <c r="M149" i="7"/>
  <c r="N149" i="7" s="1"/>
  <c r="I149" i="7" s="1"/>
  <c r="M148" i="7"/>
  <c r="N148" i="7" s="1"/>
  <c r="I148" i="7" s="1"/>
  <c r="M147" i="7"/>
  <c r="N147" i="7" s="1"/>
  <c r="I147" i="7" s="1"/>
  <c r="M171" i="7"/>
  <c r="N171" i="7" s="1"/>
  <c r="I171" i="7" s="1"/>
  <c r="M169" i="7"/>
  <c r="N169" i="7" s="1"/>
  <c r="I169" i="7" s="1"/>
  <c r="M167" i="7"/>
  <c r="N167" i="7" s="1"/>
  <c r="I167" i="7" s="1"/>
  <c r="M165" i="7"/>
  <c r="N165" i="7" s="1"/>
  <c r="I165" i="7" s="1"/>
  <c r="M163" i="7"/>
  <c r="N163" i="7" s="1"/>
  <c r="I163" i="7" s="1"/>
  <c r="M170" i="7"/>
  <c r="N170" i="7" s="1"/>
  <c r="I170" i="7" s="1"/>
  <c r="M168" i="7"/>
  <c r="N168" i="7" s="1"/>
  <c r="I168" i="7" s="1"/>
  <c r="M166" i="7"/>
  <c r="N166" i="7" s="1"/>
  <c r="I166" i="7" s="1"/>
  <c r="M164" i="7"/>
  <c r="N164" i="7" s="1"/>
  <c r="I164" i="7" s="1"/>
  <c r="M162" i="7"/>
  <c r="N162" i="7" s="1"/>
  <c r="I162" i="7" s="1"/>
  <c r="M161" i="7"/>
  <c r="N161" i="7" s="1"/>
  <c r="I161" i="7" s="1"/>
  <c r="M160" i="7"/>
  <c r="N160" i="7" s="1"/>
  <c r="I160" i="7" s="1"/>
  <c r="M196" i="7"/>
  <c r="N196" i="7" s="1"/>
  <c r="I196" i="7" s="1"/>
  <c r="M194" i="7"/>
  <c r="N194" i="7" s="1"/>
  <c r="I194" i="7" s="1"/>
  <c r="M197" i="7"/>
  <c r="N197" i="7" s="1"/>
  <c r="I197" i="7" s="1"/>
  <c r="M195" i="7"/>
  <c r="N195" i="7" s="1"/>
  <c r="I195" i="7" s="1"/>
  <c r="M193" i="7"/>
  <c r="N193" i="7" s="1"/>
  <c r="I193" i="7" s="1"/>
  <c r="M191" i="7"/>
  <c r="N191" i="7" s="1"/>
  <c r="I191" i="7" s="1"/>
  <c r="M189" i="7"/>
  <c r="N189" i="7" s="1"/>
  <c r="I189" i="7" s="1"/>
  <c r="M192" i="7"/>
  <c r="N192" i="7" s="1"/>
  <c r="I192" i="7" s="1"/>
  <c r="M190" i="7"/>
  <c r="N190" i="7" s="1"/>
  <c r="I190" i="7" s="1"/>
  <c r="M188" i="7"/>
  <c r="N188" i="7" s="1"/>
  <c r="I188" i="7" s="1"/>
  <c r="M187" i="7"/>
  <c r="N187" i="7" s="1"/>
  <c r="I187" i="7" s="1"/>
  <c r="M186" i="7"/>
  <c r="N186" i="7" s="1"/>
  <c r="I186" i="7" s="1"/>
  <c r="M4" i="7"/>
  <c r="M7" i="7"/>
  <c r="M9" i="7"/>
  <c r="M11" i="7"/>
  <c r="E157" i="7"/>
  <c r="E155" i="7"/>
  <c r="E153" i="7"/>
  <c r="E151" i="7"/>
  <c r="E149" i="7"/>
  <c r="E148" i="7"/>
  <c r="E147" i="7"/>
  <c r="E144" i="7"/>
  <c r="E142" i="7"/>
  <c r="E140" i="7"/>
  <c r="E138" i="7"/>
  <c r="E136" i="7"/>
  <c r="E135" i="7"/>
  <c r="E134" i="7"/>
  <c r="E132" i="7"/>
  <c r="E131" i="7"/>
  <c r="E130" i="7"/>
  <c r="E129" i="7"/>
  <c r="E128" i="7"/>
  <c r="E127" i="7"/>
  <c r="E126" i="7"/>
  <c r="E125" i="7"/>
  <c r="E124" i="7"/>
  <c r="E123" i="7"/>
  <c r="E121" i="7"/>
  <c r="E119" i="7"/>
  <c r="E118" i="7"/>
  <c r="E117" i="7"/>
  <c r="E116" i="7"/>
  <c r="E115" i="7"/>
  <c r="E114" i="7"/>
  <c r="E113" i="7"/>
  <c r="E112" i="7"/>
  <c r="E111" i="7"/>
  <c r="E110" i="7"/>
  <c r="E158" i="7"/>
  <c r="E156" i="7"/>
  <c r="E154" i="7"/>
  <c r="E152" i="7"/>
  <c r="E150" i="7"/>
  <c r="E145" i="7"/>
  <c r="E143" i="7"/>
  <c r="E141" i="7"/>
  <c r="E139" i="7"/>
  <c r="E137" i="7"/>
  <c r="E122" i="7"/>
  <c r="M30" i="7"/>
  <c r="N30" i="7" s="1"/>
  <c r="I30" i="7" s="1"/>
  <c r="H196" i="7"/>
  <c r="H197" i="7"/>
  <c r="H195" i="7"/>
  <c r="H193" i="7"/>
  <c r="H189" i="7"/>
  <c r="H171" i="7"/>
  <c r="H167" i="7"/>
  <c r="H165" i="7"/>
  <c r="H163" i="7"/>
  <c r="H158" i="7"/>
  <c r="H154" i="7"/>
  <c r="H152" i="7"/>
  <c r="H150" i="7"/>
  <c r="H192" i="7"/>
  <c r="H190" i="7"/>
  <c r="H187" i="7"/>
  <c r="H186" i="7"/>
  <c r="H168" i="7"/>
  <c r="H166" i="7"/>
  <c r="H164" i="7"/>
  <c r="H161" i="7"/>
  <c r="H160" i="7"/>
  <c r="H157" i="7"/>
  <c r="H155" i="7"/>
  <c r="H153" i="7"/>
  <c r="H151" i="7"/>
  <c r="H149" i="7"/>
  <c r="H148" i="7"/>
  <c r="H147" i="7"/>
  <c r="H132" i="7"/>
  <c r="M38" i="7"/>
  <c r="N38" i="7" s="1"/>
  <c r="I38" i="7" s="1"/>
  <c r="M39" i="7"/>
  <c r="N39" i="7" s="1"/>
  <c r="I39" i="7" s="1"/>
  <c r="M40" i="7"/>
  <c r="N40" i="7" s="1"/>
  <c r="I40" i="7" s="1"/>
  <c r="E83" i="7"/>
  <c r="E86" i="7"/>
  <c r="E88" i="7"/>
  <c r="E90" i="7"/>
  <c r="E92" i="7"/>
  <c r="E95" i="7"/>
  <c r="M95" i="7"/>
  <c r="N95" i="7" s="1"/>
  <c r="I95" i="7" s="1"/>
  <c r="E97" i="7"/>
  <c r="M97" i="7"/>
  <c r="N97" i="7" s="1"/>
  <c r="I97" i="7" s="1"/>
  <c r="E98" i="7"/>
  <c r="M98" i="7"/>
  <c r="N98" i="7" s="1"/>
  <c r="I98" i="7" s="1"/>
  <c r="E99" i="7"/>
  <c r="M99" i="7"/>
  <c r="N99" i="7" s="1"/>
  <c r="I99" i="7" s="1"/>
  <c r="E100" i="7"/>
  <c r="M100" i="7"/>
  <c r="N100" i="7" s="1"/>
  <c r="I100" i="7" s="1"/>
  <c r="E101" i="7"/>
  <c r="M101" i="7"/>
  <c r="N101" i="7" s="1"/>
  <c r="I101" i="7" s="1"/>
  <c r="E102" i="7"/>
  <c r="M102" i="7"/>
  <c r="N102" i="7" s="1"/>
  <c r="I102" i="7" s="1"/>
  <c r="E103" i="7"/>
  <c r="M103" i="7"/>
  <c r="N103" i="7" s="1"/>
  <c r="I103" i="7" s="1"/>
  <c r="E104" i="7"/>
  <c r="M104" i="7"/>
  <c r="N104" i="7" s="1"/>
  <c r="I104" i="7" s="1"/>
  <c r="E105" i="7"/>
  <c r="M105" i="7"/>
  <c r="N105" i="7" s="1"/>
  <c r="I105" i="7" s="1"/>
  <c r="E106" i="7"/>
  <c r="E108" i="7"/>
  <c r="M145" i="7"/>
  <c r="N145" i="7" s="1"/>
  <c r="M143" i="7"/>
  <c r="N143" i="7" s="1"/>
  <c r="M141" i="7"/>
  <c r="N141" i="7" s="1"/>
  <c r="M139" i="7"/>
  <c r="N139" i="7" s="1"/>
  <c r="M137" i="7"/>
  <c r="N137" i="7" s="1"/>
  <c r="M144" i="7"/>
  <c r="N144" i="7" s="1"/>
  <c r="I144" i="7" s="1"/>
  <c r="M142" i="7"/>
  <c r="N142" i="7" s="1"/>
  <c r="I142" i="7" s="1"/>
  <c r="M140" i="7"/>
  <c r="N140" i="7" s="1"/>
  <c r="I140" i="7" s="1"/>
  <c r="M138" i="7"/>
  <c r="N138" i="7" s="1"/>
  <c r="I138" i="7" s="1"/>
  <c r="M136" i="7"/>
  <c r="N136" i="7" s="1"/>
  <c r="I136" i="7" s="1"/>
  <c r="M135" i="7"/>
  <c r="N135" i="7" s="1"/>
  <c r="I135" i="7" s="1"/>
  <c r="M134" i="7"/>
  <c r="N134" i="7" s="1"/>
  <c r="I134" i="7" s="1"/>
  <c r="M184" i="7"/>
  <c r="N184" i="7" s="1"/>
  <c r="M182" i="7"/>
  <c r="N182" i="7" s="1"/>
  <c r="M180" i="7"/>
  <c r="N180" i="7" s="1"/>
  <c r="M178" i="7"/>
  <c r="N178" i="7" s="1"/>
  <c r="M176" i="7"/>
  <c r="N176" i="7" s="1"/>
  <c r="M183" i="7"/>
  <c r="N183" i="7" s="1"/>
  <c r="M181" i="7"/>
  <c r="N181" i="7" s="1"/>
  <c r="M179" i="7"/>
  <c r="N179" i="7" s="1"/>
  <c r="M177" i="7"/>
  <c r="N177" i="7" s="1"/>
  <c r="M175" i="7"/>
  <c r="N175" i="7" s="1"/>
  <c r="M174" i="7"/>
  <c r="N174" i="7" s="1"/>
  <c r="I174" i="7" s="1"/>
  <c r="M173" i="7"/>
  <c r="N173" i="7" s="1"/>
  <c r="M222" i="7"/>
  <c r="N222" i="7" s="1"/>
  <c r="M220" i="7"/>
  <c r="N220" i="7" s="1"/>
  <c r="M218" i="7"/>
  <c r="N218" i="7" s="1"/>
  <c r="M216" i="7"/>
  <c r="N216" i="7" s="1"/>
  <c r="M214" i="7"/>
  <c r="N214" i="7" s="1"/>
  <c r="M213" i="7"/>
  <c r="N213" i="7" s="1"/>
  <c r="I213" i="7" s="1"/>
  <c r="M212" i="7"/>
  <c r="N212" i="7" s="1"/>
  <c r="M223" i="7"/>
  <c r="N223" i="7" s="1"/>
  <c r="M221" i="7"/>
  <c r="N221" i="7" s="1"/>
  <c r="M219" i="7"/>
  <c r="N219" i="7" s="1"/>
  <c r="M217" i="7"/>
  <c r="N217" i="7" s="1"/>
  <c r="M215" i="7"/>
  <c r="N215" i="7" s="1"/>
  <c r="M248" i="7"/>
  <c r="N248" i="7" s="1"/>
  <c r="M246" i="7"/>
  <c r="N246" i="7" s="1"/>
  <c r="M244" i="7"/>
  <c r="N244" i="7" s="1"/>
  <c r="M242" i="7"/>
  <c r="N242" i="7" s="1"/>
  <c r="M240" i="7"/>
  <c r="N240" i="7" s="1"/>
  <c r="M239" i="7"/>
  <c r="N239" i="7" s="1"/>
  <c r="I239" i="7" s="1"/>
  <c r="M238" i="7"/>
  <c r="N238" i="7" s="1"/>
  <c r="M249" i="7"/>
  <c r="N249" i="7" s="1"/>
  <c r="M247" i="7"/>
  <c r="N247" i="7" s="1"/>
  <c r="M245" i="7"/>
  <c r="N245" i="7" s="1"/>
  <c r="M243" i="7"/>
  <c r="N243" i="7" s="1"/>
  <c r="M241" i="7"/>
  <c r="N241" i="7" s="1"/>
  <c r="M274" i="7"/>
  <c r="N274" i="7" s="1"/>
  <c r="M272" i="7"/>
  <c r="N272" i="7" s="1"/>
  <c r="M270" i="7"/>
  <c r="N270" i="7" s="1"/>
  <c r="M268" i="7"/>
  <c r="N268" i="7" s="1"/>
  <c r="M266" i="7"/>
  <c r="N266" i="7" s="1"/>
  <c r="M265" i="7"/>
  <c r="N265" i="7" s="1"/>
  <c r="I265" i="7" s="1"/>
  <c r="M264" i="7"/>
  <c r="N264" i="7" s="1"/>
  <c r="M275" i="7"/>
  <c r="N275" i="7" s="1"/>
  <c r="M273" i="7"/>
  <c r="N273" i="7" s="1"/>
  <c r="M271" i="7"/>
  <c r="N271" i="7" s="1"/>
  <c r="M269" i="7"/>
  <c r="N269" i="7" s="1"/>
  <c r="M267" i="7"/>
  <c r="N267" i="7" s="1"/>
  <c r="M121" i="7"/>
  <c r="N121" i="7" s="1"/>
  <c r="M123" i="7"/>
  <c r="N123" i="7" s="1"/>
  <c r="I123" i="7" s="1"/>
  <c r="M124" i="7"/>
  <c r="N124" i="7" s="1"/>
  <c r="I124" i="7" s="1"/>
  <c r="M125" i="7"/>
  <c r="N125" i="7" s="1"/>
  <c r="I125" i="7" s="1"/>
  <c r="M126" i="7"/>
  <c r="N126" i="7" s="1"/>
  <c r="I126" i="7" s="1"/>
  <c r="M127" i="7"/>
  <c r="N127" i="7" s="1"/>
  <c r="I127" i="7" s="1"/>
  <c r="M128" i="7"/>
  <c r="N128" i="7" s="1"/>
  <c r="I128" i="7" s="1"/>
  <c r="M129" i="7"/>
  <c r="N129" i="7" s="1"/>
  <c r="I129" i="7" s="1"/>
  <c r="M130" i="7"/>
  <c r="N130" i="7" s="1"/>
  <c r="I130" i="7" s="1"/>
  <c r="M131" i="7"/>
  <c r="N131" i="7" s="1"/>
  <c r="I131" i="7" s="1"/>
  <c r="M209" i="7"/>
  <c r="N209" i="7" s="1"/>
  <c r="M207" i="7"/>
  <c r="N207" i="7" s="1"/>
  <c r="M205" i="7"/>
  <c r="N205" i="7" s="1"/>
  <c r="M203" i="7"/>
  <c r="N203" i="7" s="1"/>
  <c r="M201" i="7"/>
  <c r="N201" i="7" s="1"/>
  <c r="M200" i="7"/>
  <c r="N200" i="7" s="1"/>
  <c r="I200" i="7" s="1"/>
  <c r="M199" i="7"/>
  <c r="N199" i="7" s="1"/>
  <c r="M210" i="7"/>
  <c r="N210" i="7" s="1"/>
  <c r="M208" i="7"/>
  <c r="N208" i="7" s="1"/>
  <c r="M206" i="7"/>
  <c r="N206" i="7" s="1"/>
  <c r="M204" i="7"/>
  <c r="N204" i="7" s="1"/>
  <c r="M202" i="7"/>
  <c r="N202" i="7" s="1"/>
  <c r="M235" i="7"/>
  <c r="N235" i="7" s="1"/>
  <c r="M233" i="7"/>
  <c r="N233" i="7" s="1"/>
  <c r="M231" i="7"/>
  <c r="N231" i="7" s="1"/>
  <c r="M229" i="7"/>
  <c r="N229" i="7" s="1"/>
  <c r="M227" i="7"/>
  <c r="N227" i="7" s="1"/>
  <c r="M226" i="7"/>
  <c r="N226" i="7" s="1"/>
  <c r="I226" i="7" s="1"/>
  <c r="M225" i="7"/>
  <c r="N225" i="7" s="1"/>
  <c r="M236" i="7"/>
  <c r="N236" i="7" s="1"/>
  <c r="M234" i="7"/>
  <c r="N234" i="7" s="1"/>
  <c r="M232" i="7"/>
  <c r="N232" i="7" s="1"/>
  <c r="M230" i="7"/>
  <c r="N230" i="7" s="1"/>
  <c r="M228" i="7"/>
  <c r="N228" i="7" s="1"/>
  <c r="M261" i="7"/>
  <c r="N261" i="7" s="1"/>
  <c r="M259" i="7"/>
  <c r="N259" i="7" s="1"/>
  <c r="M257" i="7"/>
  <c r="N257" i="7" s="1"/>
  <c r="M255" i="7"/>
  <c r="N255" i="7" s="1"/>
  <c r="M253" i="7"/>
  <c r="N253" i="7" s="1"/>
  <c r="M252" i="7"/>
  <c r="N252" i="7" s="1"/>
  <c r="I252" i="7" s="1"/>
  <c r="M251" i="7"/>
  <c r="N251" i="7" s="1"/>
  <c r="M262" i="7"/>
  <c r="N262" i="7" s="1"/>
  <c r="M260" i="7"/>
  <c r="N260" i="7" s="1"/>
  <c r="M258" i="7"/>
  <c r="N258" i="7" s="1"/>
  <c r="M256" i="7"/>
  <c r="N256" i="7" s="1"/>
  <c r="M254" i="7"/>
  <c r="N254" i="7" s="1"/>
  <c r="M287" i="7"/>
  <c r="N287" i="7" s="1"/>
  <c r="I287" i="7" s="1"/>
  <c r="M285" i="7"/>
  <c r="N285" i="7" s="1"/>
  <c r="I285" i="7" s="1"/>
  <c r="M283" i="7"/>
  <c r="N283" i="7" s="1"/>
  <c r="I283" i="7" s="1"/>
  <c r="M288" i="7"/>
  <c r="N288" i="7" s="1"/>
  <c r="I288" i="7" s="1"/>
  <c r="M286" i="7"/>
  <c r="N286" i="7" s="1"/>
  <c r="I286" i="7" s="1"/>
  <c r="M284" i="7"/>
  <c r="N284" i="7" s="1"/>
  <c r="I284" i="7" s="1"/>
  <c r="M282" i="7"/>
  <c r="N282" i="7" s="1"/>
  <c r="M279" i="7"/>
  <c r="N279" i="7" s="1"/>
  <c r="M278" i="7"/>
  <c r="N278" i="7" s="1"/>
  <c r="I278" i="7" s="1"/>
  <c r="M277" i="7"/>
  <c r="N277" i="7" s="1"/>
  <c r="M281" i="7"/>
  <c r="N281" i="7" s="1"/>
  <c r="I281" i="7" s="1"/>
  <c r="M280" i="7"/>
  <c r="N280" i="7" s="1"/>
  <c r="M300" i="7"/>
  <c r="N300" i="7" s="1"/>
  <c r="I300" i="7" s="1"/>
  <c r="M298" i="7"/>
  <c r="N298" i="7" s="1"/>
  <c r="I298" i="7" s="1"/>
  <c r="M296" i="7"/>
  <c r="N296" i="7" s="1"/>
  <c r="I296" i="7" s="1"/>
  <c r="M294" i="7"/>
  <c r="N294" i="7" s="1"/>
  <c r="I294" i="7" s="1"/>
  <c r="M292" i="7"/>
  <c r="N292" i="7" s="1"/>
  <c r="I292" i="7" s="1"/>
  <c r="M291" i="7"/>
  <c r="N291" i="7" s="1"/>
  <c r="M290" i="7"/>
  <c r="N290" i="7" s="1"/>
  <c r="I290" i="7" s="1"/>
  <c r="M301" i="7"/>
  <c r="N301" i="7" s="1"/>
  <c r="I301" i="7" s="1"/>
  <c r="M299" i="7"/>
  <c r="N299" i="7" s="1"/>
  <c r="I299" i="7" s="1"/>
  <c r="M297" i="7"/>
  <c r="N297" i="7" s="1"/>
  <c r="I297" i="7" s="1"/>
  <c r="M295" i="7"/>
  <c r="N295" i="7" s="1"/>
  <c r="I295" i="7" s="1"/>
  <c r="M293" i="7"/>
  <c r="N293" i="7" s="1"/>
  <c r="I293" i="7" s="1"/>
  <c r="M326" i="7"/>
  <c r="N326" i="7" s="1"/>
  <c r="I326" i="7" s="1"/>
  <c r="M324" i="7"/>
  <c r="N324" i="7" s="1"/>
  <c r="M327" i="7"/>
  <c r="N327" i="7" s="1"/>
  <c r="I327" i="7" s="1"/>
  <c r="M325" i="7"/>
  <c r="N325" i="7" s="1"/>
  <c r="I325" i="7" s="1"/>
  <c r="M322" i="7"/>
  <c r="N322" i="7" s="1"/>
  <c r="I322" i="7" s="1"/>
  <c r="M320" i="7"/>
  <c r="N320" i="7" s="1"/>
  <c r="I320" i="7" s="1"/>
  <c r="M318" i="7"/>
  <c r="N318" i="7" s="1"/>
  <c r="I318" i="7" s="1"/>
  <c r="M317" i="7"/>
  <c r="N317" i="7" s="1"/>
  <c r="M316" i="7"/>
  <c r="N316" i="7" s="1"/>
  <c r="I316" i="7" s="1"/>
  <c r="M323" i="7"/>
  <c r="N323" i="7" s="1"/>
  <c r="I323" i="7" s="1"/>
  <c r="M321" i="7"/>
  <c r="N321" i="7" s="1"/>
  <c r="I321" i="7" s="1"/>
  <c r="M319" i="7"/>
  <c r="N319" i="7" s="1"/>
  <c r="I319" i="7" s="1"/>
  <c r="M313" i="7"/>
  <c r="N313" i="7" s="1"/>
  <c r="I313" i="7" s="1"/>
  <c r="M311" i="7"/>
  <c r="N311" i="7" s="1"/>
  <c r="I311" i="7" s="1"/>
  <c r="M309" i="7"/>
  <c r="N309" i="7" s="1"/>
  <c r="I309" i="7" s="1"/>
  <c r="M307" i="7"/>
  <c r="N307" i="7" s="1"/>
  <c r="I307" i="7" s="1"/>
  <c r="M305" i="7"/>
  <c r="N305" i="7" s="1"/>
  <c r="I305" i="7" s="1"/>
  <c r="M304" i="7"/>
  <c r="N304" i="7" s="1"/>
  <c r="M303" i="7"/>
  <c r="N303" i="7" s="1"/>
  <c r="I303" i="7" s="1"/>
  <c r="M314" i="7"/>
  <c r="N314" i="7" s="1"/>
  <c r="I314" i="7" s="1"/>
  <c r="M312" i="7"/>
  <c r="N312" i="7" s="1"/>
  <c r="I312" i="7" s="1"/>
  <c r="M310" i="7"/>
  <c r="N310" i="7" s="1"/>
  <c r="I310" i="7" s="1"/>
  <c r="M308" i="7"/>
  <c r="N308" i="7" s="1"/>
  <c r="I308" i="7" s="1"/>
  <c r="M306" i="7"/>
  <c r="N306" i="7" s="1"/>
  <c r="I306" i="7" s="1"/>
  <c r="M353" i="7"/>
  <c r="N353" i="7" s="1"/>
  <c r="M351" i="7"/>
  <c r="N351" i="7" s="1"/>
  <c r="M349" i="7"/>
  <c r="N349" i="7" s="1"/>
  <c r="M347" i="7"/>
  <c r="N347" i="7" s="1"/>
  <c r="M345" i="7"/>
  <c r="N345" i="7" s="1"/>
  <c r="M352" i="7"/>
  <c r="N352" i="7" s="1"/>
  <c r="I352" i="7" s="1"/>
  <c r="M350" i="7"/>
  <c r="N350" i="7" s="1"/>
  <c r="I350" i="7" s="1"/>
  <c r="M348" i="7"/>
  <c r="N348" i="7" s="1"/>
  <c r="I348" i="7" s="1"/>
  <c r="M346" i="7"/>
  <c r="N346" i="7" s="1"/>
  <c r="I346" i="7" s="1"/>
  <c r="M344" i="7"/>
  <c r="N344" i="7" s="1"/>
  <c r="I344" i="7" s="1"/>
  <c r="M343" i="7"/>
  <c r="N343" i="7" s="1"/>
  <c r="I343" i="7" s="1"/>
  <c r="M342" i="7"/>
  <c r="N342" i="7" s="1"/>
  <c r="I342" i="7" s="1"/>
  <c r="M340" i="7"/>
  <c r="N340" i="7" s="1"/>
  <c r="M338" i="7"/>
  <c r="N338" i="7" s="1"/>
  <c r="M336" i="7"/>
  <c r="N336" i="7" s="1"/>
  <c r="M334" i="7"/>
  <c r="N334" i="7" s="1"/>
  <c r="M332" i="7"/>
  <c r="N332" i="7" s="1"/>
  <c r="M339" i="7"/>
  <c r="N339" i="7" s="1"/>
  <c r="I339" i="7" s="1"/>
  <c r="M337" i="7"/>
  <c r="N337" i="7" s="1"/>
  <c r="I337" i="7" s="1"/>
  <c r="M335" i="7"/>
  <c r="N335" i="7" s="1"/>
  <c r="I335" i="7" s="1"/>
  <c r="M333" i="7"/>
  <c r="N333" i="7" s="1"/>
  <c r="I333" i="7" s="1"/>
  <c r="M331" i="7"/>
  <c r="N331" i="7" s="1"/>
  <c r="I331" i="7" s="1"/>
  <c r="M330" i="7"/>
  <c r="N330" i="7" s="1"/>
  <c r="M329" i="7"/>
  <c r="N329" i="7" s="1"/>
  <c r="M366" i="7"/>
  <c r="N366" i="7" s="1"/>
  <c r="M364" i="7"/>
  <c r="N364" i="7" s="1"/>
  <c r="M362" i="7"/>
  <c r="N362" i="7" s="1"/>
  <c r="M360" i="7"/>
  <c r="N360" i="7" s="1"/>
  <c r="M358" i="7"/>
  <c r="N358" i="7" s="1"/>
  <c r="M365" i="7"/>
  <c r="N365" i="7" s="1"/>
  <c r="I365" i="7" s="1"/>
  <c r="M363" i="7"/>
  <c r="N363" i="7" s="1"/>
  <c r="I363" i="7" s="1"/>
  <c r="M361" i="7"/>
  <c r="N361" i="7" s="1"/>
  <c r="I361" i="7" s="1"/>
  <c r="M359" i="7"/>
  <c r="N359" i="7" s="1"/>
  <c r="I359" i="7" s="1"/>
  <c r="M357" i="7"/>
  <c r="N357" i="7" s="1"/>
  <c r="I357" i="7" s="1"/>
  <c r="M356" i="7"/>
  <c r="N356" i="7" s="1"/>
  <c r="I356" i="7" s="1"/>
  <c r="M355" i="7"/>
  <c r="N355" i="7" s="1"/>
  <c r="I355" i="7" s="1"/>
  <c r="I84" i="7" l="1"/>
  <c r="H84" i="7"/>
  <c r="H83" i="7"/>
  <c r="H330" i="7"/>
  <c r="I330" i="7"/>
  <c r="H349" i="7"/>
  <c r="I349" i="7"/>
  <c r="H282" i="7"/>
  <c r="I282" i="7"/>
  <c r="H251" i="7"/>
  <c r="I251" i="7"/>
  <c r="H225" i="7"/>
  <c r="I225" i="7"/>
  <c r="H273" i="7"/>
  <c r="I273" i="7"/>
  <c r="H248" i="7"/>
  <c r="I248" i="7"/>
  <c r="H364" i="7"/>
  <c r="I364" i="7"/>
  <c r="H338" i="7"/>
  <c r="I338" i="7"/>
  <c r="H351" i="7"/>
  <c r="I351" i="7"/>
  <c r="H304" i="7"/>
  <c r="I304" i="7"/>
  <c r="H324" i="7"/>
  <c r="I324" i="7"/>
  <c r="H291" i="7"/>
  <c r="I291" i="7"/>
  <c r="H277" i="7"/>
  <c r="I277" i="7"/>
  <c r="H258" i="7"/>
  <c r="I258" i="7"/>
  <c r="H259" i="7"/>
  <c r="I259" i="7"/>
  <c r="H232" i="7"/>
  <c r="I232" i="7"/>
  <c r="H233" i="7"/>
  <c r="I233" i="7"/>
  <c r="H206" i="7"/>
  <c r="I206" i="7"/>
  <c r="H207" i="7"/>
  <c r="I207" i="7"/>
  <c r="H267" i="7"/>
  <c r="I267" i="7"/>
  <c r="H275" i="7"/>
  <c r="I275" i="7"/>
  <c r="H268" i="7"/>
  <c r="I268" i="7"/>
  <c r="H241" i="7"/>
  <c r="I241" i="7"/>
  <c r="H249" i="7"/>
  <c r="I249" i="7"/>
  <c r="H242" i="7"/>
  <c r="I242" i="7"/>
  <c r="H215" i="7"/>
  <c r="I215" i="7"/>
  <c r="H223" i="7"/>
  <c r="I223" i="7"/>
  <c r="H216" i="7"/>
  <c r="I216" i="7"/>
  <c r="H173" i="7"/>
  <c r="I173" i="7"/>
  <c r="H179" i="7"/>
  <c r="I179" i="7"/>
  <c r="H178" i="7"/>
  <c r="I178" i="7"/>
  <c r="H139" i="7"/>
  <c r="I139" i="7"/>
  <c r="H122" i="7"/>
  <c r="H156" i="7"/>
  <c r="H191" i="7"/>
  <c r="H194" i="7"/>
  <c r="H115" i="7"/>
  <c r="H106" i="7"/>
  <c r="H98" i="7"/>
  <c r="H87" i="7"/>
  <c r="H78" i="7"/>
  <c r="H70" i="7"/>
  <c r="H61" i="7"/>
  <c r="H52" i="7"/>
  <c r="H44" i="7"/>
  <c r="H37" i="7"/>
  <c r="H116" i="7"/>
  <c r="H108" i="7"/>
  <c r="H99" i="7"/>
  <c r="H90" i="7"/>
  <c r="H77" i="7"/>
  <c r="H69" i="7"/>
  <c r="H60" i="7"/>
  <c r="H51" i="7"/>
  <c r="H43" i="7"/>
  <c r="H38" i="7"/>
  <c r="H119" i="7"/>
  <c r="H362" i="7"/>
  <c r="I362" i="7"/>
  <c r="H256" i="7"/>
  <c r="I256" i="7"/>
  <c r="H230" i="7"/>
  <c r="I230" i="7"/>
  <c r="H204" i="7"/>
  <c r="I204" i="7"/>
  <c r="H274" i="7"/>
  <c r="I274" i="7"/>
  <c r="H240" i="7"/>
  <c r="I240" i="7"/>
  <c r="H214" i="7"/>
  <c r="I214" i="7"/>
  <c r="H222" i="7"/>
  <c r="I222" i="7"/>
  <c r="H184" i="7"/>
  <c r="I184" i="7"/>
  <c r="H137" i="7"/>
  <c r="I137" i="7"/>
  <c r="H89" i="7"/>
  <c r="H110" i="7"/>
  <c r="H79" i="7"/>
  <c r="H358" i="7"/>
  <c r="I358" i="7"/>
  <c r="H366" i="7"/>
  <c r="I366" i="7"/>
  <c r="H332" i="7"/>
  <c r="I332" i="7"/>
  <c r="H340" i="7"/>
  <c r="I340" i="7"/>
  <c r="H345" i="7"/>
  <c r="I345" i="7"/>
  <c r="H353" i="7"/>
  <c r="I353" i="7"/>
  <c r="H260" i="7"/>
  <c r="I260" i="7"/>
  <c r="H253" i="7"/>
  <c r="I253" i="7"/>
  <c r="H261" i="7"/>
  <c r="I261" i="7"/>
  <c r="H234" i="7"/>
  <c r="I234" i="7"/>
  <c r="H227" i="7"/>
  <c r="I227" i="7"/>
  <c r="H235" i="7"/>
  <c r="I235" i="7"/>
  <c r="H208" i="7"/>
  <c r="I208" i="7"/>
  <c r="H201" i="7"/>
  <c r="I201" i="7"/>
  <c r="H209" i="7"/>
  <c r="I209" i="7"/>
  <c r="H269" i="7"/>
  <c r="I269" i="7"/>
  <c r="H264" i="7"/>
  <c r="I264" i="7"/>
  <c r="H270" i="7"/>
  <c r="I270" i="7"/>
  <c r="H243" i="7"/>
  <c r="I243" i="7"/>
  <c r="H238" i="7"/>
  <c r="I238" i="7"/>
  <c r="H244" i="7"/>
  <c r="I244" i="7"/>
  <c r="H217" i="7"/>
  <c r="I217" i="7"/>
  <c r="H212" i="7"/>
  <c r="I212" i="7"/>
  <c r="H218" i="7"/>
  <c r="I218" i="7"/>
  <c r="H181" i="7"/>
  <c r="I181" i="7"/>
  <c r="H180" i="7"/>
  <c r="I180" i="7"/>
  <c r="H141" i="7"/>
  <c r="I141" i="7"/>
  <c r="H188" i="7"/>
  <c r="H169" i="7"/>
  <c r="H113" i="7"/>
  <c r="H104" i="7"/>
  <c r="H96" i="7"/>
  <c r="H85" i="7"/>
  <c r="H76" i="7"/>
  <c r="H67" i="7"/>
  <c r="H59" i="7"/>
  <c r="H50" i="7"/>
  <c r="H31" i="7"/>
  <c r="H39" i="7"/>
  <c r="H114" i="7"/>
  <c r="H105" i="7"/>
  <c r="H97" i="7"/>
  <c r="H88" i="7"/>
  <c r="H75" i="7"/>
  <c r="H66" i="7"/>
  <c r="H58" i="7"/>
  <c r="H49" i="7"/>
  <c r="H32" i="7"/>
  <c r="H40" i="7"/>
  <c r="H336" i="7"/>
  <c r="I336" i="7"/>
  <c r="H257" i="7"/>
  <c r="I257" i="7"/>
  <c r="H231" i="7"/>
  <c r="I231" i="7"/>
  <c r="H199" i="7"/>
  <c r="I199" i="7"/>
  <c r="H205" i="7"/>
  <c r="I205" i="7"/>
  <c r="H121" i="7"/>
  <c r="I121" i="7"/>
  <c r="H266" i="7"/>
  <c r="I266" i="7"/>
  <c r="H247" i="7"/>
  <c r="I247" i="7"/>
  <c r="H221" i="7"/>
  <c r="I221" i="7"/>
  <c r="H177" i="7"/>
  <c r="I177" i="7"/>
  <c r="H176" i="7"/>
  <c r="I176" i="7"/>
  <c r="H145" i="7"/>
  <c r="I145" i="7"/>
  <c r="H118" i="7"/>
  <c r="H71" i="7"/>
  <c r="H360" i="7"/>
  <c r="I360" i="7"/>
  <c r="H329" i="7"/>
  <c r="I329" i="7"/>
  <c r="H334" i="7"/>
  <c r="I334" i="7"/>
  <c r="H347" i="7"/>
  <c r="I347" i="7"/>
  <c r="H317" i="7"/>
  <c r="I317" i="7"/>
  <c r="H280" i="7"/>
  <c r="I280" i="7"/>
  <c r="H279" i="7"/>
  <c r="I279" i="7"/>
  <c r="H254" i="7"/>
  <c r="I254" i="7"/>
  <c r="H262" i="7"/>
  <c r="I262" i="7"/>
  <c r="H255" i="7"/>
  <c r="I255" i="7"/>
  <c r="H228" i="7"/>
  <c r="I228" i="7"/>
  <c r="H236" i="7"/>
  <c r="I236" i="7"/>
  <c r="H229" i="7"/>
  <c r="I229" i="7"/>
  <c r="H202" i="7"/>
  <c r="I202" i="7"/>
  <c r="H210" i="7"/>
  <c r="I210" i="7"/>
  <c r="H203" i="7"/>
  <c r="I203" i="7"/>
  <c r="H271" i="7"/>
  <c r="I271" i="7"/>
  <c r="H272" i="7"/>
  <c r="I272" i="7"/>
  <c r="H245" i="7"/>
  <c r="I245" i="7"/>
  <c r="H246" i="7"/>
  <c r="I246" i="7"/>
  <c r="H219" i="7"/>
  <c r="I219" i="7"/>
  <c r="H220" i="7"/>
  <c r="I220" i="7"/>
  <c r="H175" i="7"/>
  <c r="I175" i="7"/>
  <c r="H183" i="7"/>
  <c r="I183" i="7"/>
  <c r="H182" i="7"/>
  <c r="I182" i="7"/>
  <c r="H143" i="7"/>
  <c r="I143" i="7"/>
  <c r="H162" i="7"/>
  <c r="H170" i="7"/>
  <c r="H111" i="7"/>
  <c r="H102" i="7"/>
  <c r="H91" i="7"/>
  <c r="H74" i="7"/>
  <c r="H65" i="7"/>
  <c r="H57" i="7"/>
  <c r="H48" i="7"/>
  <c r="H33" i="7"/>
  <c r="H112" i="7"/>
  <c r="H103" i="7"/>
  <c r="H95" i="7"/>
  <c r="H86" i="7"/>
  <c r="H73" i="7"/>
  <c r="H64" i="7"/>
  <c r="H56" i="7"/>
  <c r="H47" i="7"/>
  <c r="H34" i="7"/>
  <c r="H30" i="7"/>
  <c r="H93" i="7"/>
  <c r="H138" i="7"/>
  <c r="K6" i="7"/>
  <c r="H142" i="7"/>
  <c r="H123" i="7"/>
  <c r="H125" i="7"/>
  <c r="H127" i="7"/>
  <c r="H129" i="7"/>
  <c r="H131" i="7"/>
  <c r="H134" i="7"/>
  <c r="H136" i="7"/>
  <c r="H140" i="7"/>
  <c r="H144" i="7"/>
  <c r="H124" i="7"/>
  <c r="H126" i="7"/>
  <c r="H128" i="7"/>
  <c r="H130" i="7"/>
  <c r="H135" i="7"/>
  <c r="H174" i="7"/>
  <c r="H200" i="7"/>
  <c r="H213" i="7"/>
  <c r="H226" i="7"/>
  <c r="H239" i="7"/>
  <c r="H252" i="7"/>
  <c r="H265" i="7"/>
  <c r="H278" i="7"/>
  <c r="H283" i="7"/>
  <c r="H284" i="7"/>
  <c r="H286" i="7"/>
  <c r="H288" i="7"/>
  <c r="H293" i="7"/>
  <c r="H295" i="7"/>
  <c r="H297" i="7"/>
  <c r="H299" i="7"/>
  <c r="H301" i="7"/>
  <c r="H306" i="7"/>
  <c r="H308" i="7"/>
  <c r="H310" i="7"/>
  <c r="H312" i="7"/>
  <c r="H314" i="7"/>
  <c r="H319" i="7"/>
  <c r="H321" i="7"/>
  <c r="H323" i="7"/>
  <c r="H327" i="7"/>
  <c r="H285" i="7"/>
  <c r="H287" i="7"/>
  <c r="H290" i="7"/>
  <c r="H292" i="7"/>
  <c r="H294" i="7"/>
  <c r="H296" i="7"/>
  <c r="H298" i="7"/>
  <c r="H300" i="7"/>
  <c r="H303" i="7"/>
  <c r="H305" i="7"/>
  <c r="H307" i="7"/>
  <c r="H309" i="7"/>
  <c r="H311" i="7"/>
  <c r="H313" i="7"/>
  <c r="H316" i="7"/>
  <c r="H318" i="7"/>
  <c r="H320" i="7"/>
  <c r="H322" i="7"/>
  <c r="H326" i="7"/>
  <c r="H331" i="7"/>
  <c r="H333" i="7"/>
  <c r="H335" i="7"/>
  <c r="H337" i="7"/>
  <c r="H339" i="7"/>
  <c r="H342" i="7"/>
  <c r="H344" i="7"/>
  <c r="H346" i="7"/>
  <c r="H348" i="7"/>
  <c r="H350" i="7"/>
  <c r="H352" i="7"/>
  <c r="H355" i="7"/>
  <c r="H357" i="7"/>
  <c r="H359" i="7"/>
  <c r="H361" i="7"/>
  <c r="H363" i="7"/>
  <c r="H365" i="7"/>
  <c r="H281" i="7"/>
  <c r="H325" i="7"/>
  <c r="H343" i="7"/>
  <c r="H356" i="7"/>
  <c r="P35" i="4"/>
  <c r="L28" i="4"/>
  <c r="G83" i="4" l="1"/>
  <c r="G82" i="4"/>
  <c r="G81" i="4" l="1"/>
  <c r="F85" i="4"/>
  <c r="D156" i="1"/>
  <c r="D155" i="1"/>
  <c r="D154" i="1"/>
  <c r="D153" i="1"/>
  <c r="D152" i="1"/>
  <c r="D151" i="1"/>
  <c r="D150" i="1"/>
  <c r="D149" i="1"/>
  <c r="D148" i="1"/>
  <c r="D147" i="1"/>
  <c r="D146" i="1"/>
  <c r="D145" i="1"/>
  <c r="G263" i="1"/>
  <c r="P132" i="4"/>
  <c r="P54" i="4"/>
  <c r="P41" i="4"/>
  <c r="P28" i="4"/>
  <c r="P29" i="4" s="1"/>
  <c r="M31" i="4"/>
  <c r="P275" i="4"/>
  <c r="P276" i="4" s="1"/>
  <c r="G44" i="4"/>
  <c r="G364" i="4"/>
  <c r="G363" i="4"/>
  <c r="G362" i="4"/>
  <c r="G361" i="4"/>
  <c r="G360" i="4"/>
  <c r="G359" i="4"/>
  <c r="G358" i="4"/>
  <c r="G357" i="4"/>
  <c r="G356" i="4"/>
  <c r="G355" i="4"/>
  <c r="G354" i="4"/>
  <c r="P353" i="4"/>
  <c r="P354" i="4" s="1"/>
  <c r="M361" i="4" s="1"/>
  <c r="G353" i="4"/>
  <c r="G351" i="4"/>
  <c r="G350" i="4"/>
  <c r="G349" i="4"/>
  <c r="G348" i="4"/>
  <c r="G347" i="4"/>
  <c r="G346" i="4"/>
  <c r="G345" i="4"/>
  <c r="G344" i="4"/>
  <c r="G343" i="4"/>
  <c r="G342" i="4"/>
  <c r="G341" i="4"/>
  <c r="P340" i="4"/>
  <c r="P341" i="4" s="1"/>
  <c r="M341" i="4" s="1"/>
  <c r="G340" i="4"/>
  <c r="G338" i="4"/>
  <c r="G337" i="4"/>
  <c r="G336" i="4"/>
  <c r="G335" i="4"/>
  <c r="G334" i="4"/>
  <c r="G333" i="4"/>
  <c r="G332" i="4"/>
  <c r="G331" i="4"/>
  <c r="G330" i="4"/>
  <c r="G329" i="4"/>
  <c r="G328" i="4"/>
  <c r="P327" i="4"/>
  <c r="P328" i="4" s="1"/>
  <c r="M328" i="4" s="1"/>
  <c r="G327" i="4"/>
  <c r="G325" i="4"/>
  <c r="G324" i="4"/>
  <c r="G323" i="4"/>
  <c r="G322" i="4"/>
  <c r="G321" i="4"/>
  <c r="G320" i="4"/>
  <c r="G319" i="4"/>
  <c r="G318" i="4"/>
  <c r="G317" i="4"/>
  <c r="G316" i="4"/>
  <c r="G315" i="4"/>
  <c r="P314" i="4"/>
  <c r="P315" i="4" s="1"/>
  <c r="M315" i="4" s="1"/>
  <c r="G314" i="4"/>
  <c r="G312" i="4"/>
  <c r="G311" i="4"/>
  <c r="G310" i="4"/>
  <c r="G309" i="4"/>
  <c r="G308" i="4"/>
  <c r="G307" i="4"/>
  <c r="G306" i="4"/>
  <c r="G305" i="4"/>
  <c r="G304" i="4"/>
  <c r="G303" i="4"/>
  <c r="G302" i="4"/>
  <c r="P301" i="4"/>
  <c r="P302" i="4" s="1"/>
  <c r="M302" i="4" s="1"/>
  <c r="G301" i="4"/>
  <c r="G299" i="4"/>
  <c r="G298" i="4"/>
  <c r="G297" i="4"/>
  <c r="G296" i="4"/>
  <c r="G295" i="4"/>
  <c r="G294" i="4"/>
  <c r="G293" i="4"/>
  <c r="G292" i="4"/>
  <c r="G291" i="4"/>
  <c r="G290" i="4"/>
  <c r="G289" i="4"/>
  <c r="P288" i="4"/>
  <c r="P289" i="4" s="1"/>
  <c r="M289" i="4" s="1"/>
  <c r="G288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3" i="4"/>
  <c r="G272" i="4"/>
  <c r="G271" i="4"/>
  <c r="G270" i="4"/>
  <c r="G269" i="4"/>
  <c r="G268" i="4"/>
  <c r="G267" i="4"/>
  <c r="G266" i="4"/>
  <c r="G265" i="4"/>
  <c r="G264" i="4"/>
  <c r="G263" i="4"/>
  <c r="P262" i="4"/>
  <c r="P263" i="4" s="1"/>
  <c r="M264" i="4" s="1"/>
  <c r="G262" i="4"/>
  <c r="G260" i="4"/>
  <c r="G259" i="4"/>
  <c r="G258" i="4"/>
  <c r="G257" i="4"/>
  <c r="G256" i="4"/>
  <c r="G255" i="4"/>
  <c r="G254" i="4"/>
  <c r="G253" i="4"/>
  <c r="G252" i="4"/>
  <c r="G251" i="4"/>
  <c r="G250" i="4"/>
  <c r="P249" i="4"/>
  <c r="P250" i="4" s="1"/>
  <c r="M251" i="4" s="1"/>
  <c r="G249" i="4"/>
  <c r="G247" i="4"/>
  <c r="G246" i="4"/>
  <c r="G245" i="4"/>
  <c r="G244" i="4"/>
  <c r="G243" i="4"/>
  <c r="G242" i="4"/>
  <c r="G241" i="4"/>
  <c r="G240" i="4"/>
  <c r="G239" i="4"/>
  <c r="G238" i="4"/>
  <c r="G237" i="4"/>
  <c r="P236" i="4"/>
  <c r="P237" i="4" s="1"/>
  <c r="M238" i="4" s="1"/>
  <c r="G236" i="4"/>
  <c r="G234" i="4"/>
  <c r="G233" i="4"/>
  <c r="G232" i="4"/>
  <c r="G231" i="4"/>
  <c r="G230" i="4"/>
  <c r="G229" i="4"/>
  <c r="G228" i="4"/>
  <c r="G227" i="4"/>
  <c r="G226" i="4"/>
  <c r="G225" i="4"/>
  <c r="G224" i="4"/>
  <c r="P223" i="4"/>
  <c r="P224" i="4" s="1"/>
  <c r="M225" i="4" s="1"/>
  <c r="G223" i="4"/>
  <c r="G221" i="4"/>
  <c r="G220" i="4"/>
  <c r="G219" i="4"/>
  <c r="G218" i="4"/>
  <c r="G217" i="4"/>
  <c r="G216" i="4"/>
  <c r="G215" i="4"/>
  <c r="G214" i="4"/>
  <c r="G213" i="4"/>
  <c r="G212" i="4"/>
  <c r="G211" i="4"/>
  <c r="P210" i="4"/>
  <c r="P211" i="4" s="1"/>
  <c r="M211" i="4" s="1"/>
  <c r="G210" i="4"/>
  <c r="G208" i="4"/>
  <c r="G207" i="4"/>
  <c r="G206" i="4"/>
  <c r="G205" i="4"/>
  <c r="G204" i="4"/>
  <c r="G203" i="4"/>
  <c r="G202" i="4"/>
  <c r="G201" i="4"/>
  <c r="G200" i="4"/>
  <c r="G199" i="4"/>
  <c r="G198" i="4"/>
  <c r="P197" i="4"/>
  <c r="P198" i="4" s="1"/>
  <c r="M199" i="4" s="1"/>
  <c r="G197" i="4"/>
  <c r="G195" i="4"/>
  <c r="G194" i="4"/>
  <c r="G193" i="4"/>
  <c r="G192" i="4"/>
  <c r="G191" i="4"/>
  <c r="G190" i="4"/>
  <c r="G189" i="4"/>
  <c r="G188" i="4"/>
  <c r="G187" i="4"/>
  <c r="G186" i="4"/>
  <c r="G185" i="4"/>
  <c r="P184" i="4"/>
  <c r="P185" i="4" s="1"/>
  <c r="M189" i="4" s="1"/>
  <c r="G184" i="4"/>
  <c r="G182" i="4"/>
  <c r="G181" i="4"/>
  <c r="G180" i="4"/>
  <c r="G179" i="4"/>
  <c r="G178" i="4"/>
  <c r="G177" i="4"/>
  <c r="G176" i="4"/>
  <c r="G175" i="4"/>
  <c r="G174" i="4"/>
  <c r="G173" i="4"/>
  <c r="G172" i="4"/>
  <c r="P171" i="4"/>
  <c r="P172" i="4" s="1"/>
  <c r="M177" i="4" s="1"/>
  <c r="G171" i="4"/>
  <c r="G169" i="4"/>
  <c r="G168" i="4"/>
  <c r="G167" i="4"/>
  <c r="G166" i="4"/>
  <c r="G165" i="4"/>
  <c r="G164" i="4"/>
  <c r="G163" i="4"/>
  <c r="G162" i="4"/>
  <c r="G161" i="4"/>
  <c r="G160" i="4"/>
  <c r="G159" i="4"/>
  <c r="P158" i="4"/>
  <c r="P159" i="4" s="1"/>
  <c r="M158" i="4" s="1"/>
  <c r="G158" i="4"/>
  <c r="G156" i="4"/>
  <c r="G155" i="4"/>
  <c r="G154" i="4"/>
  <c r="G153" i="4"/>
  <c r="G152" i="4"/>
  <c r="G151" i="4"/>
  <c r="G150" i="4"/>
  <c r="G149" i="4"/>
  <c r="G148" i="4"/>
  <c r="G147" i="4"/>
  <c r="G146" i="4"/>
  <c r="P145" i="4"/>
  <c r="P146" i="4" s="1"/>
  <c r="M147" i="4" s="1"/>
  <c r="G145" i="4"/>
  <c r="G143" i="4"/>
  <c r="G142" i="4"/>
  <c r="G141" i="4"/>
  <c r="G140" i="4"/>
  <c r="G139" i="4"/>
  <c r="G138" i="4"/>
  <c r="G137" i="4"/>
  <c r="G136" i="4"/>
  <c r="G135" i="4"/>
  <c r="G134" i="4"/>
  <c r="G133" i="4"/>
  <c r="P133" i="4"/>
  <c r="M133" i="4" s="1"/>
  <c r="G132" i="4"/>
  <c r="G130" i="4"/>
  <c r="G129" i="4"/>
  <c r="G128" i="4"/>
  <c r="G127" i="4"/>
  <c r="G126" i="4"/>
  <c r="G125" i="4"/>
  <c r="G124" i="4"/>
  <c r="G123" i="4"/>
  <c r="G122" i="4"/>
  <c r="G121" i="4"/>
  <c r="G120" i="4"/>
  <c r="P119" i="4"/>
  <c r="P120" i="4" s="1"/>
  <c r="M121" i="4" s="1"/>
  <c r="G119" i="4"/>
  <c r="G117" i="4"/>
  <c r="G116" i="4"/>
  <c r="G115" i="4"/>
  <c r="G114" i="4"/>
  <c r="G113" i="4"/>
  <c r="G112" i="4"/>
  <c r="G111" i="4"/>
  <c r="G110" i="4"/>
  <c r="G109" i="4"/>
  <c r="G108" i="4"/>
  <c r="G107" i="4"/>
  <c r="P106" i="4"/>
  <c r="P107" i="4" s="1"/>
  <c r="M110" i="4" s="1"/>
  <c r="G106" i="4"/>
  <c r="G104" i="4"/>
  <c r="G103" i="4"/>
  <c r="G102" i="4"/>
  <c r="G101" i="4"/>
  <c r="G100" i="4"/>
  <c r="G99" i="4"/>
  <c r="G98" i="4"/>
  <c r="G97" i="4"/>
  <c r="G96" i="4"/>
  <c r="G95" i="4"/>
  <c r="G94" i="4"/>
  <c r="P93" i="4"/>
  <c r="P94" i="4" s="1"/>
  <c r="M98" i="4" s="1"/>
  <c r="G93" i="4"/>
  <c r="G91" i="4"/>
  <c r="G90" i="4"/>
  <c r="G89" i="4"/>
  <c r="G88" i="4"/>
  <c r="G87" i="4"/>
  <c r="G86" i="4"/>
  <c r="G85" i="4"/>
  <c r="G84" i="4"/>
  <c r="P80" i="4"/>
  <c r="P81" i="4" s="1"/>
  <c r="M81" i="4" s="1"/>
  <c r="G80" i="4"/>
  <c r="G78" i="4"/>
  <c r="G77" i="4"/>
  <c r="G76" i="4"/>
  <c r="G75" i="4"/>
  <c r="G74" i="4"/>
  <c r="G73" i="4"/>
  <c r="G72" i="4"/>
  <c r="G71" i="4"/>
  <c r="G70" i="4"/>
  <c r="G69" i="4"/>
  <c r="G68" i="4"/>
  <c r="P67" i="4"/>
  <c r="P68" i="4" s="1"/>
  <c r="M68" i="4" s="1"/>
  <c r="G67" i="4"/>
  <c r="G65" i="4"/>
  <c r="G64" i="4"/>
  <c r="G63" i="4"/>
  <c r="G62" i="4"/>
  <c r="G61" i="4"/>
  <c r="G60" i="4"/>
  <c r="G59" i="4"/>
  <c r="G58" i="4"/>
  <c r="G57" i="4"/>
  <c r="G56" i="4"/>
  <c r="G55" i="4"/>
  <c r="P55" i="4"/>
  <c r="M56" i="4" s="1"/>
  <c r="G54" i="4"/>
  <c r="G52" i="4"/>
  <c r="G51" i="4"/>
  <c r="G50" i="4"/>
  <c r="G49" i="4"/>
  <c r="G48" i="4"/>
  <c r="G47" i="4"/>
  <c r="G46" i="4"/>
  <c r="G45" i="4"/>
  <c r="G43" i="4"/>
  <c r="G42" i="4"/>
  <c r="P42" i="4"/>
  <c r="M43" i="4" s="1"/>
  <c r="G41" i="4"/>
  <c r="K28" i="4"/>
  <c r="L30" i="4"/>
  <c r="F54" i="1"/>
  <c r="P412" i="1"/>
  <c r="L410" i="1"/>
  <c r="L407" i="1"/>
  <c r="P405" i="1"/>
  <c r="P406" i="1" s="1"/>
  <c r="M411" i="1" s="1"/>
  <c r="L405" i="1"/>
  <c r="K405" i="1"/>
  <c r="P399" i="1"/>
  <c r="K392" i="1" s="1"/>
  <c r="L397" i="1"/>
  <c r="L394" i="1"/>
  <c r="P392" i="1"/>
  <c r="P393" i="1" s="1"/>
  <c r="L392" i="1"/>
  <c r="P386" i="1"/>
  <c r="L384" i="1"/>
  <c r="L381" i="1"/>
  <c r="P379" i="1"/>
  <c r="P380" i="1" s="1"/>
  <c r="L379" i="1"/>
  <c r="K379" i="1"/>
  <c r="P373" i="1"/>
  <c r="K366" i="1" s="1"/>
  <c r="L371" i="1"/>
  <c r="L368" i="1"/>
  <c r="P366" i="1"/>
  <c r="P367" i="1" s="1"/>
  <c r="L366" i="1"/>
  <c r="P360" i="1"/>
  <c r="L358" i="1"/>
  <c r="L355" i="1"/>
  <c r="P353" i="1"/>
  <c r="P354" i="1" s="1"/>
  <c r="L353" i="1"/>
  <c r="K353" i="1"/>
  <c r="P347" i="1"/>
  <c r="K340" i="1" s="1"/>
  <c r="L345" i="1"/>
  <c r="L342" i="1"/>
  <c r="P340" i="1"/>
  <c r="P341" i="1" s="1"/>
  <c r="L340" i="1"/>
  <c r="P334" i="1"/>
  <c r="K327" i="1" s="1"/>
  <c r="L332" i="1"/>
  <c r="L329" i="1"/>
  <c r="P327" i="1"/>
  <c r="P328" i="1" s="1"/>
  <c r="L327" i="1"/>
  <c r="P321" i="1"/>
  <c r="K314" i="1" s="1"/>
  <c r="L319" i="1"/>
  <c r="L316" i="1"/>
  <c r="P314" i="1"/>
  <c r="P315" i="1" s="1"/>
  <c r="L314" i="1"/>
  <c r="P308" i="1"/>
  <c r="K301" i="1" s="1"/>
  <c r="L306" i="1"/>
  <c r="L303" i="1"/>
  <c r="P301" i="1"/>
  <c r="P302" i="1" s="1"/>
  <c r="L301" i="1"/>
  <c r="P295" i="1"/>
  <c r="K288" i="1" s="1"/>
  <c r="L293" i="1"/>
  <c r="L290" i="1"/>
  <c r="P288" i="1"/>
  <c r="P289" i="1" s="1"/>
  <c r="L288" i="1"/>
  <c r="P282" i="1"/>
  <c r="K275" i="1" s="1"/>
  <c r="L280" i="1"/>
  <c r="L277" i="1"/>
  <c r="P275" i="1"/>
  <c r="P276" i="1" s="1"/>
  <c r="L275" i="1"/>
  <c r="P269" i="1"/>
  <c r="K262" i="1" s="1"/>
  <c r="L267" i="1"/>
  <c r="L264" i="1"/>
  <c r="P262" i="1"/>
  <c r="P263" i="1" s="1"/>
  <c r="L262" i="1"/>
  <c r="P256" i="1"/>
  <c r="K249" i="1" s="1"/>
  <c r="L254" i="1"/>
  <c r="L251" i="1"/>
  <c r="P249" i="1"/>
  <c r="P250" i="1" s="1"/>
  <c r="L249" i="1"/>
  <c r="P243" i="1"/>
  <c r="K236" i="1" s="1"/>
  <c r="L241" i="1"/>
  <c r="L238" i="1"/>
  <c r="P236" i="1"/>
  <c r="P237" i="1" s="1"/>
  <c r="L236" i="1"/>
  <c r="P230" i="1"/>
  <c r="K223" i="1" s="1"/>
  <c r="L228" i="1"/>
  <c r="L225" i="1"/>
  <c r="P223" i="1"/>
  <c r="P224" i="1" s="1"/>
  <c r="L223" i="1"/>
  <c r="P217" i="1"/>
  <c r="K210" i="1" s="1"/>
  <c r="L215" i="1"/>
  <c r="L212" i="1"/>
  <c r="P210" i="1"/>
  <c r="P211" i="1" s="1"/>
  <c r="L210" i="1"/>
  <c r="P204" i="1"/>
  <c r="K197" i="1" s="1"/>
  <c r="L202" i="1"/>
  <c r="L199" i="1"/>
  <c r="P197" i="1"/>
  <c r="P198" i="1" s="1"/>
  <c r="L197" i="1"/>
  <c r="P191" i="1"/>
  <c r="K184" i="1" s="1"/>
  <c r="L189" i="1"/>
  <c r="L186" i="1"/>
  <c r="P184" i="1"/>
  <c r="P185" i="1" s="1"/>
  <c r="L184" i="1"/>
  <c r="P178" i="1"/>
  <c r="K171" i="1" s="1"/>
  <c r="L176" i="1"/>
  <c r="L173" i="1"/>
  <c r="P171" i="1"/>
  <c r="P172" i="1" s="1"/>
  <c r="L171" i="1"/>
  <c r="P165" i="1"/>
  <c r="K158" i="1" s="1"/>
  <c r="L163" i="1"/>
  <c r="L160" i="1"/>
  <c r="P158" i="1"/>
  <c r="P159" i="1" s="1"/>
  <c r="L158" i="1"/>
  <c r="P152" i="1"/>
  <c r="K145" i="1" s="1"/>
  <c r="L150" i="1"/>
  <c r="L147" i="1"/>
  <c r="P145" i="1"/>
  <c r="P146" i="1" s="1"/>
  <c r="L145" i="1"/>
  <c r="P139" i="1"/>
  <c r="K132" i="1" s="1"/>
  <c r="L137" i="1"/>
  <c r="L134" i="1"/>
  <c r="P132" i="1"/>
  <c r="P133" i="1" s="1"/>
  <c r="L132" i="1"/>
  <c r="P126" i="1"/>
  <c r="K119" i="1" s="1"/>
  <c r="L124" i="1"/>
  <c r="L121" i="1"/>
  <c r="P119" i="1"/>
  <c r="P120" i="1" s="1"/>
  <c r="L119" i="1"/>
  <c r="P113" i="1"/>
  <c r="K106" i="1" s="1"/>
  <c r="L111" i="1"/>
  <c r="L108" i="1"/>
  <c r="P106" i="1"/>
  <c r="P107" i="1" s="1"/>
  <c r="L106" i="1"/>
  <c r="P100" i="1"/>
  <c r="K93" i="1" s="1"/>
  <c r="L98" i="1"/>
  <c r="L95" i="1"/>
  <c r="P93" i="1"/>
  <c r="P94" i="1" s="1"/>
  <c r="L93" i="1"/>
  <c r="P87" i="1"/>
  <c r="K80" i="1" s="1"/>
  <c r="L85" i="1"/>
  <c r="L82" i="1"/>
  <c r="P80" i="1"/>
  <c r="P81" i="1" s="1"/>
  <c r="L80" i="1"/>
  <c r="P74" i="1"/>
  <c r="L72" i="1"/>
  <c r="L69" i="1"/>
  <c r="P67" i="1"/>
  <c r="P68" i="1" s="1"/>
  <c r="L67" i="1"/>
  <c r="K67" i="1"/>
  <c r="P61" i="1"/>
  <c r="K54" i="1" s="1"/>
  <c r="L59" i="1"/>
  <c r="L56" i="1"/>
  <c r="P54" i="1"/>
  <c r="P55" i="1" s="1"/>
  <c r="L54" i="1"/>
  <c r="P48" i="1"/>
  <c r="L46" i="1"/>
  <c r="L43" i="1"/>
  <c r="P41" i="1"/>
  <c r="P42" i="1" s="1"/>
  <c r="L41" i="1"/>
  <c r="K41" i="1"/>
  <c r="L33" i="1"/>
  <c r="P35" i="1"/>
  <c r="K28" i="1" s="1"/>
  <c r="P28" i="1"/>
  <c r="L30" i="1"/>
  <c r="L28" i="1"/>
  <c r="O407" i="4"/>
  <c r="P404" i="4"/>
  <c r="P405" i="4" s="1"/>
  <c r="O394" i="4"/>
  <c r="P391" i="4"/>
  <c r="P392" i="4" s="1"/>
  <c r="O381" i="4"/>
  <c r="P378" i="4"/>
  <c r="P379" i="4" s="1"/>
  <c r="G28" i="4"/>
  <c r="H115" i="4" l="1"/>
  <c r="H84" i="4"/>
  <c r="M42" i="1"/>
  <c r="M44" i="1"/>
  <c r="M46" i="1"/>
  <c r="M48" i="1"/>
  <c r="M50" i="1"/>
  <c r="M52" i="1"/>
  <c r="M43" i="1"/>
  <c r="M45" i="1"/>
  <c r="M47" i="1"/>
  <c r="M49" i="1"/>
  <c r="M51" i="1"/>
  <c r="M41" i="1"/>
  <c r="M68" i="1"/>
  <c r="M70" i="1"/>
  <c r="M72" i="1"/>
  <c r="M74" i="1"/>
  <c r="M76" i="1"/>
  <c r="M78" i="1"/>
  <c r="M69" i="1"/>
  <c r="M71" i="1"/>
  <c r="M73" i="1"/>
  <c r="M75" i="1"/>
  <c r="M77" i="1"/>
  <c r="M67" i="1"/>
  <c r="M107" i="1"/>
  <c r="M109" i="1"/>
  <c r="M111" i="1"/>
  <c r="M113" i="1"/>
  <c r="M115" i="1"/>
  <c r="M117" i="1"/>
  <c r="M108" i="1"/>
  <c r="M110" i="1"/>
  <c r="M112" i="1"/>
  <c r="M114" i="1"/>
  <c r="M116" i="1"/>
  <c r="M106" i="1"/>
  <c r="M160" i="1"/>
  <c r="M162" i="1"/>
  <c r="M164" i="1"/>
  <c r="M166" i="1"/>
  <c r="M168" i="1"/>
  <c r="M158" i="1"/>
  <c r="M159" i="1"/>
  <c r="M161" i="1"/>
  <c r="M163" i="1"/>
  <c r="M165" i="1"/>
  <c r="M167" i="1"/>
  <c r="M169" i="1"/>
  <c r="M212" i="1"/>
  <c r="M215" i="1"/>
  <c r="M217" i="1"/>
  <c r="M219" i="1"/>
  <c r="M221" i="1"/>
  <c r="M213" i="1"/>
  <c r="M211" i="1"/>
  <c r="M214" i="1"/>
  <c r="M216" i="1"/>
  <c r="M218" i="1"/>
  <c r="M220" i="1"/>
  <c r="M210" i="1"/>
  <c r="M264" i="1"/>
  <c r="M266" i="1"/>
  <c r="M268" i="1"/>
  <c r="M270" i="1"/>
  <c r="M272" i="1"/>
  <c r="M262" i="1"/>
  <c r="M263" i="1"/>
  <c r="M265" i="1"/>
  <c r="M267" i="1"/>
  <c r="M269" i="1"/>
  <c r="M271" i="1"/>
  <c r="M273" i="1"/>
  <c r="M55" i="1"/>
  <c r="M57" i="1"/>
  <c r="M59" i="1"/>
  <c r="M61" i="1"/>
  <c r="M63" i="1"/>
  <c r="M65" i="1"/>
  <c r="M56" i="1"/>
  <c r="M58" i="1"/>
  <c r="M60" i="1"/>
  <c r="M62" i="1"/>
  <c r="M64" i="1"/>
  <c r="M54" i="1"/>
  <c r="M81" i="1"/>
  <c r="M83" i="1"/>
  <c r="M85" i="1"/>
  <c r="M87" i="1"/>
  <c r="M89" i="1"/>
  <c r="M91" i="1"/>
  <c r="M82" i="1"/>
  <c r="M84" i="1"/>
  <c r="M86" i="1"/>
  <c r="M88" i="1"/>
  <c r="M90" i="1"/>
  <c r="M80" i="1"/>
  <c r="M134" i="1"/>
  <c r="M136" i="1"/>
  <c r="M138" i="1"/>
  <c r="M140" i="1"/>
  <c r="M142" i="1"/>
  <c r="M132" i="1"/>
  <c r="M133" i="1"/>
  <c r="M135" i="1"/>
  <c r="M137" i="1"/>
  <c r="M139" i="1"/>
  <c r="M141" i="1"/>
  <c r="M143" i="1"/>
  <c r="M190" i="1"/>
  <c r="M185" i="1"/>
  <c r="M187" i="1"/>
  <c r="M189" i="1"/>
  <c r="M192" i="1"/>
  <c r="M194" i="1"/>
  <c r="M184" i="1"/>
  <c r="M186" i="1"/>
  <c r="M188" i="1"/>
  <c r="M191" i="1"/>
  <c r="M193" i="1"/>
  <c r="M195" i="1"/>
  <c r="M238" i="1"/>
  <c r="M240" i="1"/>
  <c r="M242" i="1"/>
  <c r="M244" i="1"/>
  <c r="M246" i="1"/>
  <c r="M236" i="1"/>
  <c r="M237" i="1"/>
  <c r="M239" i="1"/>
  <c r="M241" i="1"/>
  <c r="M243" i="1"/>
  <c r="M245" i="1"/>
  <c r="M247" i="1"/>
  <c r="M276" i="4"/>
  <c r="M278" i="4"/>
  <c r="M280" i="4"/>
  <c r="N280" i="4" s="1"/>
  <c r="M282" i="4"/>
  <c r="M284" i="4"/>
  <c r="N284" i="4" s="1"/>
  <c r="M286" i="4"/>
  <c r="M275" i="4"/>
  <c r="N275" i="4" s="1"/>
  <c r="M277" i="4"/>
  <c r="M279" i="4"/>
  <c r="M281" i="4"/>
  <c r="M283" i="4"/>
  <c r="N283" i="4" s="1"/>
  <c r="M285" i="4"/>
  <c r="M316" i="1"/>
  <c r="M318" i="1"/>
  <c r="M320" i="1"/>
  <c r="M322" i="1"/>
  <c r="M324" i="1"/>
  <c r="M314" i="1"/>
  <c r="M315" i="1"/>
  <c r="M317" i="1"/>
  <c r="M319" i="1"/>
  <c r="M321" i="1"/>
  <c r="M323" i="1"/>
  <c r="M325" i="1"/>
  <c r="M355" i="1"/>
  <c r="M357" i="1"/>
  <c r="M359" i="1"/>
  <c r="M361" i="1"/>
  <c r="M363" i="1"/>
  <c r="M353" i="1"/>
  <c r="M354" i="1"/>
  <c r="M356" i="1"/>
  <c r="M358" i="1"/>
  <c r="M360" i="1"/>
  <c r="M362" i="1"/>
  <c r="M364" i="1"/>
  <c r="M366" i="1"/>
  <c r="M373" i="1"/>
  <c r="M368" i="1"/>
  <c r="M370" i="1"/>
  <c r="M372" i="1"/>
  <c r="M375" i="1"/>
  <c r="M377" i="1"/>
  <c r="M367" i="1"/>
  <c r="M369" i="1"/>
  <c r="M371" i="1"/>
  <c r="M374" i="1"/>
  <c r="M376" i="1"/>
  <c r="M398" i="1"/>
  <c r="M393" i="1"/>
  <c r="M395" i="1"/>
  <c r="M397" i="1"/>
  <c r="M399" i="1"/>
  <c r="M394" i="1"/>
  <c r="M396" i="1"/>
  <c r="M94" i="1"/>
  <c r="M96" i="1"/>
  <c r="M98" i="1"/>
  <c r="M100" i="1"/>
  <c r="M102" i="1"/>
  <c r="M104" i="1"/>
  <c r="M95" i="1"/>
  <c r="M97" i="1"/>
  <c r="M99" i="1"/>
  <c r="M101" i="1"/>
  <c r="M103" i="1"/>
  <c r="M93" i="1"/>
  <c r="M127" i="1"/>
  <c r="M121" i="1"/>
  <c r="M123" i="1"/>
  <c r="M125" i="1"/>
  <c r="M128" i="1"/>
  <c r="M130" i="1"/>
  <c r="M120" i="1"/>
  <c r="M122" i="1"/>
  <c r="M124" i="1"/>
  <c r="M126" i="1"/>
  <c r="M129" i="1"/>
  <c r="M119" i="1"/>
  <c r="M147" i="1"/>
  <c r="M148" i="1"/>
  <c r="M150" i="1"/>
  <c r="M152" i="1"/>
  <c r="M155" i="1"/>
  <c r="M145" i="1"/>
  <c r="M154" i="1"/>
  <c r="M146" i="1"/>
  <c r="M149" i="1"/>
  <c r="M151" i="1"/>
  <c r="M153" i="1"/>
  <c r="M156" i="1"/>
  <c r="M173" i="1"/>
  <c r="M175" i="1"/>
  <c r="M177" i="1"/>
  <c r="M179" i="1"/>
  <c r="M181" i="1"/>
  <c r="M171" i="1"/>
  <c r="M172" i="1"/>
  <c r="M174" i="1"/>
  <c r="M176" i="1"/>
  <c r="M178" i="1"/>
  <c r="M180" i="1"/>
  <c r="M182" i="1"/>
  <c r="M203" i="1"/>
  <c r="M198" i="1"/>
  <c r="M200" i="1"/>
  <c r="M202" i="1"/>
  <c r="M205" i="1"/>
  <c r="M207" i="1"/>
  <c r="M197" i="1"/>
  <c r="M199" i="1"/>
  <c r="M201" i="1"/>
  <c r="M204" i="1"/>
  <c r="M206" i="1"/>
  <c r="M208" i="1"/>
  <c r="M225" i="1"/>
  <c r="M227" i="1"/>
  <c r="M229" i="1"/>
  <c r="M231" i="1"/>
  <c r="M233" i="1"/>
  <c r="M223" i="1"/>
  <c r="M224" i="1"/>
  <c r="M226" i="1"/>
  <c r="M228" i="1"/>
  <c r="M230" i="1"/>
  <c r="M232" i="1"/>
  <c r="M234" i="1"/>
  <c r="M251" i="1"/>
  <c r="M253" i="1"/>
  <c r="M255" i="1"/>
  <c r="M257" i="1"/>
  <c r="M259" i="1"/>
  <c r="M249" i="1"/>
  <c r="M250" i="1"/>
  <c r="M252" i="1"/>
  <c r="M254" i="1"/>
  <c r="M256" i="1"/>
  <c r="M258" i="1"/>
  <c r="M260" i="1"/>
  <c r="M277" i="1"/>
  <c r="M279" i="1"/>
  <c r="M281" i="1"/>
  <c r="M283" i="1"/>
  <c r="M285" i="1"/>
  <c r="M275" i="1"/>
  <c r="M276" i="1"/>
  <c r="M278" i="1"/>
  <c r="M280" i="1"/>
  <c r="M282" i="1"/>
  <c r="M284" i="1"/>
  <c r="M286" i="1"/>
  <c r="M311" i="1"/>
  <c r="M309" i="1"/>
  <c r="M307" i="1"/>
  <c r="M305" i="1"/>
  <c r="M303" i="1"/>
  <c r="M301" i="1"/>
  <c r="M312" i="1"/>
  <c r="M310" i="1"/>
  <c r="M308" i="1"/>
  <c r="M306" i="1"/>
  <c r="M304" i="1"/>
  <c r="M302" i="1"/>
  <c r="M329" i="1"/>
  <c r="M331" i="1"/>
  <c r="M333" i="1"/>
  <c r="M335" i="1"/>
  <c r="M337" i="1"/>
  <c r="M327" i="1"/>
  <c r="M328" i="1"/>
  <c r="M330" i="1"/>
  <c r="M332" i="1"/>
  <c r="M334" i="1"/>
  <c r="M336" i="1"/>
  <c r="M338" i="1"/>
  <c r="M52" i="4"/>
  <c r="M50" i="4"/>
  <c r="M48" i="4"/>
  <c r="M46" i="4"/>
  <c r="N46" i="4" s="1"/>
  <c r="M44" i="4"/>
  <c r="M42" i="4"/>
  <c r="M65" i="4"/>
  <c r="M63" i="4"/>
  <c r="N63" i="4" s="1"/>
  <c r="M61" i="4"/>
  <c r="M59" i="4"/>
  <c r="M57" i="4"/>
  <c r="M55" i="4"/>
  <c r="M77" i="4"/>
  <c r="M75" i="4"/>
  <c r="M73" i="4"/>
  <c r="M71" i="4"/>
  <c r="N71" i="4" s="1"/>
  <c r="M69" i="4"/>
  <c r="M67" i="4"/>
  <c r="M91" i="4"/>
  <c r="M89" i="4"/>
  <c r="N89" i="4" s="1"/>
  <c r="H89" i="4" s="1"/>
  <c r="M87" i="4"/>
  <c r="M84" i="4"/>
  <c r="M82" i="4"/>
  <c r="M103" i="4"/>
  <c r="M93" i="4"/>
  <c r="M100" i="4"/>
  <c r="M97" i="4"/>
  <c r="M101" i="4"/>
  <c r="N101" i="4" s="1"/>
  <c r="H101" i="4" s="1"/>
  <c r="M85" i="4"/>
  <c r="M102" i="4"/>
  <c r="M107" i="4"/>
  <c r="M117" i="4"/>
  <c r="N117" i="4" s="1"/>
  <c r="I117" i="4" s="1"/>
  <c r="M115" i="4"/>
  <c r="M113" i="4"/>
  <c r="M111" i="4"/>
  <c r="M109" i="4"/>
  <c r="N109" i="4" s="1"/>
  <c r="M130" i="4"/>
  <c r="M128" i="4"/>
  <c r="M126" i="4"/>
  <c r="M124" i="4"/>
  <c r="M122" i="4"/>
  <c r="M120" i="4"/>
  <c r="M143" i="4"/>
  <c r="M141" i="4"/>
  <c r="N141" i="4" s="1"/>
  <c r="I141" i="4" s="1"/>
  <c r="M139" i="4"/>
  <c r="M137" i="4"/>
  <c r="M135" i="4"/>
  <c r="M134" i="4"/>
  <c r="N134" i="4" s="1"/>
  <c r="I134" i="4" s="1"/>
  <c r="M156" i="4"/>
  <c r="M154" i="4"/>
  <c r="M152" i="4"/>
  <c r="M150" i="4"/>
  <c r="N150" i="4" s="1"/>
  <c r="M148" i="4"/>
  <c r="M146" i="4"/>
  <c r="M168" i="4"/>
  <c r="M166" i="4"/>
  <c r="N166" i="4" s="1"/>
  <c r="M163" i="4"/>
  <c r="M161" i="4"/>
  <c r="M159" i="4"/>
  <c r="M164" i="4"/>
  <c r="N164" i="4" s="1"/>
  <c r="M182" i="4"/>
  <c r="M179" i="4"/>
  <c r="M176" i="4"/>
  <c r="M173" i="4"/>
  <c r="N173" i="4" s="1"/>
  <c r="M174" i="4"/>
  <c r="M181" i="4"/>
  <c r="M195" i="4"/>
  <c r="M193" i="4"/>
  <c r="N193" i="4" s="1"/>
  <c r="M190" i="4"/>
  <c r="M187" i="4"/>
  <c r="M185" i="4"/>
  <c r="M192" i="4"/>
  <c r="N192" i="4" s="1"/>
  <c r="M208" i="4"/>
  <c r="M206" i="4"/>
  <c r="M204" i="4"/>
  <c r="M202" i="4"/>
  <c r="M200" i="4"/>
  <c r="M198" i="4"/>
  <c r="M220" i="4"/>
  <c r="N220" i="4" s="1"/>
  <c r="M218" i="4"/>
  <c r="N218" i="4" s="1"/>
  <c r="H218" i="4" s="1"/>
  <c r="M216" i="4"/>
  <c r="M214" i="4"/>
  <c r="M212" i="4"/>
  <c r="M234" i="4"/>
  <c r="N234" i="4" s="1"/>
  <c r="H234" i="4" s="1"/>
  <c r="M232" i="4"/>
  <c r="M230" i="4"/>
  <c r="M228" i="4"/>
  <c r="M226" i="4"/>
  <c r="N226" i="4" s="1"/>
  <c r="M224" i="4"/>
  <c r="M247" i="4"/>
  <c r="M245" i="4"/>
  <c r="M243" i="4"/>
  <c r="M241" i="4"/>
  <c r="M239" i="4"/>
  <c r="M237" i="4"/>
  <c r="M260" i="4"/>
  <c r="N260" i="4" s="1"/>
  <c r="M258" i="4"/>
  <c r="M256" i="4"/>
  <c r="M254" i="4"/>
  <c r="M252" i="4"/>
  <c r="N252" i="4" s="1"/>
  <c r="M250" i="4"/>
  <c r="M273" i="4"/>
  <c r="M271" i="4"/>
  <c r="M269" i="4"/>
  <c r="N269" i="4" s="1"/>
  <c r="M267" i="4"/>
  <c r="M265" i="4"/>
  <c r="M263" i="4"/>
  <c r="M288" i="4"/>
  <c r="N288" i="4" s="1"/>
  <c r="M298" i="4"/>
  <c r="M296" i="4"/>
  <c r="M294" i="4"/>
  <c r="M292" i="4"/>
  <c r="M290" i="4"/>
  <c r="M301" i="4"/>
  <c r="M311" i="4"/>
  <c r="M309" i="4"/>
  <c r="N309" i="4" s="1"/>
  <c r="M307" i="4"/>
  <c r="M305" i="4"/>
  <c r="M303" i="4"/>
  <c r="M314" i="4"/>
  <c r="N314" i="4" s="1"/>
  <c r="H314" i="4" s="1"/>
  <c r="M324" i="4"/>
  <c r="M322" i="4"/>
  <c r="M320" i="4"/>
  <c r="M318" i="4"/>
  <c r="N318" i="4" s="1"/>
  <c r="I318" i="4" s="1"/>
  <c r="M316" i="4"/>
  <c r="M327" i="4"/>
  <c r="M337" i="4"/>
  <c r="M335" i="4"/>
  <c r="N335" i="4" s="1"/>
  <c r="M333" i="4"/>
  <c r="M331" i="4"/>
  <c r="M329" i="4"/>
  <c r="M340" i="4"/>
  <c r="N340" i="4" s="1"/>
  <c r="M350" i="4"/>
  <c r="M348" i="4"/>
  <c r="M346" i="4"/>
  <c r="M344" i="4"/>
  <c r="N344" i="4" s="1"/>
  <c r="H344" i="4" s="1"/>
  <c r="M342" i="4"/>
  <c r="M353" i="4"/>
  <c r="M363" i="4"/>
  <c r="M360" i="4"/>
  <c r="N360" i="4" s="1"/>
  <c r="M358" i="4"/>
  <c r="M356" i="4"/>
  <c r="M354" i="4"/>
  <c r="M416" i="1"/>
  <c r="M414" i="1"/>
  <c r="M412" i="1"/>
  <c r="M409" i="1"/>
  <c r="M407" i="1"/>
  <c r="M392" i="1"/>
  <c r="M402" i="1"/>
  <c r="M400" i="1"/>
  <c r="M290" i="1"/>
  <c r="M292" i="1"/>
  <c r="M294" i="1"/>
  <c r="M296" i="1"/>
  <c r="M298" i="1"/>
  <c r="M288" i="1"/>
  <c r="M289" i="1"/>
  <c r="M291" i="1"/>
  <c r="M293" i="1"/>
  <c r="M295" i="1"/>
  <c r="M297" i="1"/>
  <c r="M299" i="1"/>
  <c r="M347" i="1"/>
  <c r="M342" i="1"/>
  <c r="M344" i="1"/>
  <c r="M346" i="1"/>
  <c r="M349" i="1"/>
  <c r="M340" i="1"/>
  <c r="M350" i="1"/>
  <c r="M341" i="1"/>
  <c r="M343" i="1"/>
  <c r="M345" i="1"/>
  <c r="M348" i="1"/>
  <c r="M351" i="1"/>
  <c r="M388" i="1"/>
  <c r="M383" i="1"/>
  <c r="M387" i="1"/>
  <c r="M381" i="1"/>
  <c r="M384" i="1"/>
  <c r="M386" i="1"/>
  <c r="M390" i="1"/>
  <c r="M380" i="1"/>
  <c r="M382" i="1"/>
  <c r="M385" i="1"/>
  <c r="N385" i="1" s="1"/>
  <c r="M389" i="1"/>
  <c r="M379" i="1"/>
  <c r="M41" i="4"/>
  <c r="N41" i="4" s="1"/>
  <c r="I41" i="4" s="1"/>
  <c r="M51" i="4"/>
  <c r="M49" i="4"/>
  <c r="M47" i="4"/>
  <c r="M45" i="4"/>
  <c r="N45" i="4" s="1"/>
  <c r="M54" i="4"/>
  <c r="M64" i="4"/>
  <c r="M62" i="4"/>
  <c r="M60" i="4"/>
  <c r="N60" i="4" s="1"/>
  <c r="M58" i="4"/>
  <c r="M78" i="4"/>
  <c r="M76" i="4"/>
  <c r="M74" i="4"/>
  <c r="N74" i="4" s="1"/>
  <c r="M72" i="4"/>
  <c r="N72" i="4" s="1"/>
  <c r="M70" i="4"/>
  <c r="M80" i="4"/>
  <c r="M90" i="4"/>
  <c r="N90" i="4" s="1"/>
  <c r="M88" i="4"/>
  <c r="M86" i="4"/>
  <c r="M83" i="4"/>
  <c r="M94" i="4"/>
  <c r="N94" i="4" s="1"/>
  <c r="M96" i="4"/>
  <c r="M104" i="4"/>
  <c r="M95" i="4"/>
  <c r="M99" i="4"/>
  <c r="N99" i="4" s="1"/>
  <c r="M106" i="4"/>
  <c r="M108" i="4"/>
  <c r="M116" i="4"/>
  <c r="M114" i="4"/>
  <c r="N114" i="4" s="1"/>
  <c r="M112" i="4"/>
  <c r="M119" i="4"/>
  <c r="M129" i="4"/>
  <c r="M127" i="4"/>
  <c r="N127" i="4" s="1"/>
  <c r="H127" i="4" s="1"/>
  <c r="M125" i="4"/>
  <c r="M123" i="4"/>
  <c r="M132" i="4"/>
  <c r="M142" i="4"/>
  <c r="M140" i="4"/>
  <c r="M138" i="4"/>
  <c r="M136" i="4"/>
  <c r="M145" i="4"/>
  <c r="N145" i="4" s="1"/>
  <c r="M155" i="4"/>
  <c r="M153" i="4"/>
  <c r="M151" i="4"/>
  <c r="M149" i="4"/>
  <c r="N149" i="4" s="1"/>
  <c r="H149" i="4" s="1"/>
  <c r="M169" i="4"/>
  <c r="M167" i="4"/>
  <c r="M165" i="4"/>
  <c r="M162" i="4"/>
  <c r="N162" i="4" s="1"/>
  <c r="M160" i="4"/>
  <c r="M171" i="4"/>
  <c r="M180" i="4"/>
  <c r="M178" i="4"/>
  <c r="N178" i="4" s="1"/>
  <c r="M175" i="4"/>
  <c r="M172" i="4"/>
  <c r="M184" i="4"/>
  <c r="M194" i="4"/>
  <c r="N194" i="4" s="1"/>
  <c r="M191" i="4"/>
  <c r="M188" i="4"/>
  <c r="M186" i="4"/>
  <c r="M197" i="4"/>
  <c r="N197" i="4" s="1"/>
  <c r="M207" i="4"/>
  <c r="M205" i="4"/>
  <c r="M203" i="4"/>
  <c r="M201" i="4"/>
  <c r="N201" i="4" s="1"/>
  <c r="M210" i="4"/>
  <c r="N210" i="4" s="1"/>
  <c r="M221" i="4"/>
  <c r="M219" i="4"/>
  <c r="M217" i="4"/>
  <c r="N217" i="4" s="1"/>
  <c r="M215" i="4"/>
  <c r="M213" i="4"/>
  <c r="M223" i="4"/>
  <c r="M233" i="4"/>
  <c r="N233" i="4" s="1"/>
  <c r="H233" i="4" s="1"/>
  <c r="M231" i="4"/>
  <c r="M229" i="4"/>
  <c r="M227" i="4"/>
  <c r="M236" i="4"/>
  <c r="N236" i="4" s="1"/>
  <c r="H236" i="4" s="1"/>
  <c r="M246" i="4"/>
  <c r="M244" i="4"/>
  <c r="M242" i="4"/>
  <c r="M240" i="4"/>
  <c r="N240" i="4" s="1"/>
  <c r="M249" i="4"/>
  <c r="M259" i="4"/>
  <c r="M257" i="4"/>
  <c r="M255" i="4"/>
  <c r="N255" i="4" s="1"/>
  <c r="I255" i="4" s="1"/>
  <c r="M253" i="4"/>
  <c r="M262" i="4"/>
  <c r="M272" i="4"/>
  <c r="M270" i="4"/>
  <c r="N270" i="4" s="1"/>
  <c r="M268" i="4"/>
  <c r="M266" i="4"/>
  <c r="M299" i="4"/>
  <c r="M297" i="4"/>
  <c r="N297" i="4" s="1"/>
  <c r="H297" i="4" s="1"/>
  <c r="M295" i="4"/>
  <c r="N295" i="4" s="1"/>
  <c r="H295" i="4" s="1"/>
  <c r="M293" i="4"/>
  <c r="M291" i="4"/>
  <c r="M312" i="4"/>
  <c r="N312" i="4" s="1"/>
  <c r="H312" i="4" s="1"/>
  <c r="M310" i="4"/>
  <c r="N310" i="4" s="1"/>
  <c r="M308" i="4"/>
  <c r="M306" i="4"/>
  <c r="M304" i="4"/>
  <c r="N304" i="4" s="1"/>
  <c r="M325" i="4"/>
  <c r="M323" i="4"/>
  <c r="M321" i="4"/>
  <c r="M319" i="4"/>
  <c r="N319" i="4" s="1"/>
  <c r="H319" i="4" s="1"/>
  <c r="M317" i="4"/>
  <c r="M338" i="4"/>
  <c r="M336" i="4"/>
  <c r="M334" i="4"/>
  <c r="N334" i="4" s="1"/>
  <c r="M332" i="4"/>
  <c r="M330" i="4"/>
  <c r="M351" i="4"/>
  <c r="M349" i="4"/>
  <c r="N349" i="4" s="1"/>
  <c r="I349" i="4" s="1"/>
  <c r="M347" i="4"/>
  <c r="N347" i="4" s="1"/>
  <c r="M345" i="4"/>
  <c r="M343" i="4"/>
  <c r="M364" i="4"/>
  <c r="N364" i="4" s="1"/>
  <c r="M362" i="4"/>
  <c r="N362" i="4" s="1"/>
  <c r="M359" i="4"/>
  <c r="M357" i="4"/>
  <c r="M355" i="4"/>
  <c r="N355" i="4" s="1"/>
  <c r="H355" i="4" s="1"/>
  <c r="P29" i="1"/>
  <c r="M405" i="1"/>
  <c r="M415" i="1"/>
  <c r="M413" i="1"/>
  <c r="M410" i="1"/>
  <c r="M408" i="1"/>
  <c r="M406" i="1"/>
  <c r="M403" i="1"/>
  <c r="M401" i="1"/>
  <c r="N358" i="4"/>
  <c r="I358" i="4" s="1"/>
  <c r="N357" i="4"/>
  <c r="I357" i="4" s="1"/>
  <c r="N354" i="4"/>
  <c r="H354" i="4" s="1"/>
  <c r="N351" i="4"/>
  <c r="H351" i="4" s="1"/>
  <c r="N345" i="4"/>
  <c r="I345" i="4" s="1"/>
  <c r="N342" i="4"/>
  <c r="I342" i="4" s="1"/>
  <c r="N341" i="4"/>
  <c r="N337" i="4"/>
  <c r="N333" i="4"/>
  <c r="N330" i="4"/>
  <c r="N327" i="4"/>
  <c r="I327" i="4" s="1"/>
  <c r="N325" i="4"/>
  <c r="H325" i="4" s="1"/>
  <c r="N324" i="4"/>
  <c r="N323" i="4"/>
  <c r="N322" i="4"/>
  <c r="H322" i="4" s="1"/>
  <c r="N320" i="4"/>
  <c r="H320" i="4" s="1"/>
  <c r="N316" i="4"/>
  <c r="I316" i="4" s="1"/>
  <c r="N315" i="4"/>
  <c r="H315" i="4" s="1"/>
  <c r="N308" i="4"/>
  <c r="H308" i="4" s="1"/>
  <c r="N306" i="4"/>
  <c r="H306" i="4" s="1"/>
  <c r="N305" i="4"/>
  <c r="H305" i="4" s="1"/>
  <c r="N303" i="4"/>
  <c r="N302" i="4"/>
  <c r="H302" i="4" s="1"/>
  <c r="N299" i="4"/>
  <c r="N293" i="4"/>
  <c r="I293" i="4" s="1"/>
  <c r="N292" i="4"/>
  <c r="H292" i="4" s="1"/>
  <c r="N290" i="4"/>
  <c r="I290" i="4" s="1"/>
  <c r="N289" i="4"/>
  <c r="H284" i="4"/>
  <c r="N282" i="4"/>
  <c r="N279" i="4"/>
  <c r="H279" i="4" s="1"/>
  <c r="N363" i="4"/>
  <c r="N361" i="4"/>
  <c r="I361" i="4" s="1"/>
  <c r="N359" i="4"/>
  <c r="H359" i="4" s="1"/>
  <c r="N356" i="4"/>
  <c r="H356" i="4" s="1"/>
  <c r="N353" i="4"/>
  <c r="H353" i="4" s="1"/>
  <c r="N350" i="4"/>
  <c r="H350" i="4" s="1"/>
  <c r="N348" i="4"/>
  <c r="H348" i="4" s="1"/>
  <c r="N346" i="4"/>
  <c r="N343" i="4"/>
  <c r="N338" i="4"/>
  <c r="H338" i="4" s="1"/>
  <c r="N336" i="4"/>
  <c r="N332" i="4"/>
  <c r="I332" i="4" s="1"/>
  <c r="N331" i="4"/>
  <c r="H331" i="4" s="1"/>
  <c r="N329" i="4"/>
  <c r="I329" i="4" s="1"/>
  <c r="N328" i="4"/>
  <c r="N321" i="4"/>
  <c r="H321" i="4" s="1"/>
  <c r="N317" i="4"/>
  <c r="H317" i="4" s="1"/>
  <c r="N311" i="4"/>
  <c r="H311" i="4" s="1"/>
  <c r="N307" i="4"/>
  <c r="H307" i="4" s="1"/>
  <c r="N301" i="4"/>
  <c r="H301" i="4" s="1"/>
  <c r="N298" i="4"/>
  <c r="H298" i="4" s="1"/>
  <c r="N296" i="4"/>
  <c r="H296" i="4" s="1"/>
  <c r="N294" i="4"/>
  <c r="N291" i="4"/>
  <c r="N286" i="4"/>
  <c r="N285" i="4"/>
  <c r="H275" i="4"/>
  <c r="N272" i="4"/>
  <c r="H272" i="4" s="1"/>
  <c r="N268" i="4"/>
  <c r="H268" i="4" s="1"/>
  <c r="N265" i="4"/>
  <c r="H265" i="4" s="1"/>
  <c r="N262" i="4"/>
  <c r="H262" i="4" s="1"/>
  <c r="N256" i="4"/>
  <c r="N254" i="4"/>
  <c r="H254" i="4" s="1"/>
  <c r="N253" i="4"/>
  <c r="I253" i="4" s="1"/>
  <c r="N251" i="4"/>
  <c r="N250" i="4"/>
  <c r="H250" i="4" s="1"/>
  <c r="N247" i="4"/>
  <c r="H247" i="4" s="1"/>
  <c r="N246" i="4"/>
  <c r="H246" i="4" s="1"/>
  <c r="N245" i="4"/>
  <c r="N244" i="4"/>
  <c r="N242" i="4"/>
  <c r="N239" i="4"/>
  <c r="H239" i="4" s="1"/>
  <c r="N230" i="4"/>
  <c r="N228" i="4"/>
  <c r="I228" i="4" s="1"/>
  <c r="N227" i="4"/>
  <c r="I227" i="4" s="1"/>
  <c r="N225" i="4"/>
  <c r="N224" i="4"/>
  <c r="H224" i="4" s="1"/>
  <c r="H220" i="4"/>
  <c r="N216" i="4"/>
  <c r="H216" i="4" s="1"/>
  <c r="N213" i="4"/>
  <c r="H213" i="4" s="1"/>
  <c r="H210" i="4"/>
  <c r="N208" i="4"/>
  <c r="I208" i="4" s="1"/>
  <c r="N207" i="4"/>
  <c r="N206" i="4"/>
  <c r="N205" i="4"/>
  <c r="H205" i="4" s="1"/>
  <c r="N203" i="4"/>
  <c r="H203" i="4" s="1"/>
  <c r="N200" i="4"/>
  <c r="H200" i="4" s="1"/>
  <c r="N191" i="4"/>
  <c r="N189" i="4"/>
  <c r="N188" i="4"/>
  <c r="N186" i="4"/>
  <c r="N185" i="4"/>
  <c r="N281" i="4"/>
  <c r="H281" i="4" s="1"/>
  <c r="N278" i="4"/>
  <c r="H278" i="4" s="1"/>
  <c r="N277" i="4"/>
  <c r="N273" i="4"/>
  <c r="H273" i="4" s="1"/>
  <c r="N267" i="4"/>
  <c r="I267" i="4" s="1"/>
  <c r="N266" i="4"/>
  <c r="H266" i="4" s="1"/>
  <c r="N249" i="4"/>
  <c r="H249" i="4" s="1"/>
  <c r="N241" i="4"/>
  <c r="N237" i="4"/>
  <c r="H237" i="4" s="1"/>
  <c r="N232" i="4"/>
  <c r="H232" i="4" s="1"/>
  <c r="N231" i="4"/>
  <c r="H231" i="4" s="1"/>
  <c r="N229" i="4"/>
  <c r="H229" i="4" s="1"/>
  <c r="N223" i="4"/>
  <c r="H223" i="4" s="1"/>
  <c r="N221" i="4"/>
  <c r="H221" i="4" s="1"/>
  <c r="N215" i="4"/>
  <c r="I215" i="4" s="1"/>
  <c r="N214" i="4"/>
  <c r="N211" i="4"/>
  <c r="H211" i="4" s="1"/>
  <c r="N202" i="4"/>
  <c r="N198" i="4"/>
  <c r="H198" i="4" s="1"/>
  <c r="N195" i="4"/>
  <c r="N190" i="4"/>
  <c r="H190" i="4" s="1"/>
  <c r="N187" i="4"/>
  <c r="N184" i="4"/>
  <c r="H184" i="4" s="1"/>
  <c r="N182" i="4"/>
  <c r="N181" i="4"/>
  <c r="H181" i="4" s="1"/>
  <c r="N180" i="4"/>
  <c r="N179" i="4"/>
  <c r="N177" i="4"/>
  <c r="H177" i="4" s="1"/>
  <c r="N174" i="4"/>
  <c r="H174" i="4" s="1"/>
  <c r="N171" i="4"/>
  <c r="H171" i="4" s="1"/>
  <c r="N168" i="4"/>
  <c r="H168" i="4" s="1"/>
  <c r="N161" i="4"/>
  <c r="N158" i="4"/>
  <c r="N156" i="4"/>
  <c r="I156" i="4" s="1"/>
  <c r="N155" i="4"/>
  <c r="N153" i="4"/>
  <c r="N151" i="4"/>
  <c r="H151" i="4" s="1"/>
  <c r="N148" i="4"/>
  <c r="H148" i="4" s="1"/>
  <c r="N142" i="4"/>
  <c r="N140" i="4"/>
  <c r="H140" i="4" s="1"/>
  <c r="N138" i="4"/>
  <c r="N135" i="4"/>
  <c r="N132" i="4"/>
  <c r="I132" i="4" s="1"/>
  <c r="N130" i="4"/>
  <c r="N128" i="4"/>
  <c r="N126" i="4"/>
  <c r="N124" i="4"/>
  <c r="N123" i="4"/>
  <c r="H123" i="4" s="1"/>
  <c r="N121" i="4"/>
  <c r="I121" i="4" s="1"/>
  <c r="N120" i="4"/>
  <c r="I120" i="4" s="1"/>
  <c r="N116" i="4"/>
  <c r="H116" i="4" s="1"/>
  <c r="N112" i="4"/>
  <c r="N106" i="4"/>
  <c r="N104" i="4"/>
  <c r="N102" i="4"/>
  <c r="N100" i="4"/>
  <c r="H100" i="4" s="1"/>
  <c r="N98" i="4"/>
  <c r="I98" i="4" s="1"/>
  <c r="N97" i="4"/>
  <c r="H97" i="4" s="1"/>
  <c r="N95" i="4"/>
  <c r="I95" i="4" s="1"/>
  <c r="N88" i="4"/>
  <c r="H88" i="4" s="1"/>
  <c r="N86" i="4"/>
  <c r="H86" i="4" s="1"/>
  <c r="N83" i="4"/>
  <c r="I83" i="4" s="1"/>
  <c r="N80" i="4"/>
  <c r="N78" i="4"/>
  <c r="N76" i="4"/>
  <c r="I76" i="4" s="1"/>
  <c r="I72" i="4"/>
  <c r="N69" i="4"/>
  <c r="I69" i="4" s="1"/>
  <c r="N68" i="4"/>
  <c r="I68" i="4" s="1"/>
  <c r="N64" i="4"/>
  <c r="H64" i="4" s="1"/>
  <c r="N62" i="4"/>
  <c r="H62" i="4" s="1"/>
  <c r="N57" i="4"/>
  <c r="H57" i="4" s="1"/>
  <c r="N54" i="4"/>
  <c r="I54" i="4" s="1"/>
  <c r="N52" i="4"/>
  <c r="H52" i="4" s="1"/>
  <c r="N51" i="4"/>
  <c r="N48" i="4"/>
  <c r="I48" i="4" s="1"/>
  <c r="N276" i="4"/>
  <c r="N271" i="4"/>
  <c r="N264" i="4"/>
  <c r="N263" i="4"/>
  <c r="N259" i="4"/>
  <c r="N258" i="4"/>
  <c r="N257" i="4"/>
  <c r="H257" i="4" s="1"/>
  <c r="N243" i="4"/>
  <c r="I243" i="4" s="1"/>
  <c r="N238" i="4"/>
  <c r="N219" i="4"/>
  <c r="H219" i="4" s="1"/>
  <c r="N212" i="4"/>
  <c r="I212" i="4" s="1"/>
  <c r="N204" i="4"/>
  <c r="N199" i="4"/>
  <c r="N176" i="4"/>
  <c r="I176" i="4" s="1"/>
  <c r="N175" i="4"/>
  <c r="N172" i="4"/>
  <c r="H172" i="4" s="1"/>
  <c r="N169" i="4"/>
  <c r="I169" i="4" s="1"/>
  <c r="N167" i="4"/>
  <c r="N165" i="4"/>
  <c r="H165" i="4" s="1"/>
  <c r="N163" i="4"/>
  <c r="N160" i="4"/>
  <c r="I160" i="4" s="1"/>
  <c r="N159" i="4"/>
  <c r="N154" i="4"/>
  <c r="H154" i="4" s="1"/>
  <c r="N152" i="4"/>
  <c r="N147" i="4"/>
  <c r="I147" i="4" s="1"/>
  <c r="N146" i="4"/>
  <c r="H146" i="4" s="1"/>
  <c r="N143" i="4"/>
  <c r="N139" i="4"/>
  <c r="H139" i="4" s="1"/>
  <c r="N137" i="4"/>
  <c r="N136" i="4"/>
  <c r="H136" i="4" s="1"/>
  <c r="N133" i="4"/>
  <c r="I133" i="4" s="1"/>
  <c r="N129" i="4"/>
  <c r="H129" i="4" s="1"/>
  <c r="N125" i="4"/>
  <c r="N122" i="4"/>
  <c r="H122" i="4" s="1"/>
  <c r="N119" i="4"/>
  <c r="N115" i="4"/>
  <c r="N113" i="4"/>
  <c r="H113" i="4" s="1"/>
  <c r="N111" i="4"/>
  <c r="N110" i="4"/>
  <c r="H110" i="4" s="1"/>
  <c r="N108" i="4"/>
  <c r="I108" i="4" s="1"/>
  <c r="N107" i="4"/>
  <c r="I107" i="4" s="1"/>
  <c r="N103" i="4"/>
  <c r="H103" i="4" s="1"/>
  <c r="N96" i="4"/>
  <c r="N93" i="4"/>
  <c r="H93" i="4" s="1"/>
  <c r="N91" i="4"/>
  <c r="H91" i="4" s="1"/>
  <c r="N87" i="4"/>
  <c r="N85" i="4"/>
  <c r="N84" i="4"/>
  <c r="N82" i="4"/>
  <c r="I82" i="4" s="1"/>
  <c r="N81" i="4"/>
  <c r="N77" i="4"/>
  <c r="H77" i="4" s="1"/>
  <c r="N75" i="4"/>
  <c r="H75" i="4" s="1"/>
  <c r="N73" i="4"/>
  <c r="H73" i="4" s="1"/>
  <c r="N70" i="4"/>
  <c r="I70" i="4" s="1"/>
  <c r="N67" i="4"/>
  <c r="H67" i="4" s="1"/>
  <c r="N65" i="4"/>
  <c r="N61" i="4"/>
  <c r="N59" i="4"/>
  <c r="N58" i="4"/>
  <c r="H58" i="4" s="1"/>
  <c r="N56" i="4"/>
  <c r="I56" i="4" s="1"/>
  <c r="N55" i="4"/>
  <c r="I55" i="4" s="1"/>
  <c r="N50" i="4"/>
  <c r="H50" i="4" s="1"/>
  <c r="N49" i="4"/>
  <c r="N42" i="4"/>
  <c r="H42" i="4" s="1"/>
  <c r="N43" i="4"/>
  <c r="H43" i="4" s="1"/>
  <c r="N44" i="4"/>
  <c r="I44" i="4" s="1"/>
  <c r="N47" i="4"/>
  <c r="I359" i="4"/>
  <c r="I356" i="4"/>
  <c r="I353" i="4"/>
  <c r="I350" i="4"/>
  <c r="I348" i="4"/>
  <c r="H342" i="4"/>
  <c r="H332" i="4"/>
  <c r="I331" i="4"/>
  <c r="I312" i="4"/>
  <c r="I307" i="4"/>
  <c r="I301" i="4"/>
  <c r="I298" i="4"/>
  <c r="I296" i="4"/>
  <c r="I281" i="4"/>
  <c r="I278" i="4"/>
  <c r="H345" i="4"/>
  <c r="I344" i="4"/>
  <c r="H329" i="4"/>
  <c r="I320" i="4"/>
  <c r="H293" i="4"/>
  <c r="I292" i="4"/>
  <c r="H267" i="4"/>
  <c r="I266" i="4"/>
  <c r="I249" i="4"/>
  <c r="I237" i="4"/>
  <c r="I229" i="4"/>
  <c r="I223" i="4"/>
  <c r="I219" i="4"/>
  <c r="I210" i="4"/>
  <c r="I198" i="4"/>
  <c r="I184" i="4"/>
  <c r="I284" i="4"/>
  <c r="I275" i="4"/>
  <c r="I216" i="4"/>
  <c r="I172" i="4"/>
  <c r="I165" i="4"/>
  <c r="I154" i="4"/>
  <c r="I139" i="4"/>
  <c r="I136" i="4"/>
  <c r="I129" i="4"/>
  <c r="H121" i="4"/>
  <c r="I103" i="4"/>
  <c r="I101" i="4"/>
  <c r="H95" i="4"/>
  <c r="I84" i="4"/>
  <c r="I75" i="4"/>
  <c r="I58" i="4"/>
  <c r="I250" i="4"/>
  <c r="I224" i="4"/>
  <c r="I213" i="4"/>
  <c r="I200" i="4"/>
  <c r="I177" i="4"/>
  <c r="I168" i="4"/>
  <c r="H160" i="4"/>
  <c r="I151" i="4"/>
  <c r="I140" i="4"/>
  <c r="H134" i="4"/>
  <c r="I123" i="4"/>
  <c r="H108" i="4"/>
  <c r="I100" i="4"/>
  <c r="H98" i="4"/>
  <c r="I97" i="4"/>
  <c r="I88" i="4"/>
  <c r="H72" i="4"/>
  <c r="I64" i="4"/>
  <c r="I62" i="4"/>
  <c r="H56" i="4"/>
  <c r="H41" i="4"/>
  <c r="I42" i="4"/>
  <c r="I355" i="4"/>
  <c r="H357" i="4"/>
  <c r="H363" i="4"/>
  <c r="I363" i="4"/>
  <c r="I341" i="4"/>
  <c r="H341" i="4"/>
  <c r="I346" i="4"/>
  <c r="H346" i="4"/>
  <c r="I343" i="4"/>
  <c r="H343" i="4"/>
  <c r="I351" i="4"/>
  <c r="I328" i="4"/>
  <c r="H328" i="4"/>
  <c r="I333" i="4"/>
  <c r="H333" i="4"/>
  <c r="H327" i="4"/>
  <c r="I330" i="4"/>
  <c r="H330" i="4"/>
  <c r="I336" i="4"/>
  <c r="H336" i="4"/>
  <c r="I338" i="4"/>
  <c r="H316" i="4"/>
  <c r="H318" i="4"/>
  <c r="I321" i="4"/>
  <c r="I323" i="4"/>
  <c r="H323" i="4"/>
  <c r="H324" i="4"/>
  <c r="I324" i="4"/>
  <c r="I325" i="4"/>
  <c r="I303" i="4"/>
  <c r="H303" i="4"/>
  <c r="I305" i="4"/>
  <c r="I311" i="4"/>
  <c r="I306" i="4"/>
  <c r="I308" i="4"/>
  <c r="I289" i="4"/>
  <c r="H289" i="4"/>
  <c r="I294" i="4"/>
  <c r="H294" i="4"/>
  <c r="I288" i="4"/>
  <c r="H288" i="4"/>
  <c r="I297" i="4"/>
  <c r="I280" i="4"/>
  <c r="H280" i="4"/>
  <c r="I277" i="4"/>
  <c r="H277" i="4"/>
  <c r="H283" i="4"/>
  <c r="I283" i="4"/>
  <c r="H285" i="4"/>
  <c r="I285" i="4"/>
  <c r="I286" i="4"/>
  <c r="H286" i="4"/>
  <c r="I268" i="4"/>
  <c r="I262" i="4"/>
  <c r="I271" i="4"/>
  <c r="H271" i="4"/>
  <c r="I273" i="4"/>
  <c r="I251" i="4"/>
  <c r="H251" i="4"/>
  <c r="H253" i="4"/>
  <c r="I257" i="4"/>
  <c r="I258" i="4"/>
  <c r="H258" i="4"/>
  <c r="H259" i="4"/>
  <c r="I259" i="4"/>
  <c r="I254" i="4"/>
  <c r="H255" i="4"/>
  <c r="H256" i="4"/>
  <c r="I256" i="4"/>
  <c r="I241" i="4"/>
  <c r="H241" i="4"/>
  <c r="H243" i="4"/>
  <c r="I238" i="4"/>
  <c r="H238" i="4"/>
  <c r="H244" i="4"/>
  <c r="I244" i="4"/>
  <c r="I245" i="4"/>
  <c r="H245" i="4"/>
  <c r="I246" i="4"/>
  <c r="I247" i="4"/>
  <c r="H228" i="4"/>
  <c r="H230" i="4"/>
  <c r="I230" i="4"/>
  <c r="I225" i="4"/>
  <c r="H225" i="4"/>
  <c r="H227" i="4"/>
  <c r="I231" i="4"/>
  <c r="I233" i="4"/>
  <c r="I234" i="4"/>
  <c r="H215" i="4"/>
  <c r="I214" i="4"/>
  <c r="H214" i="4"/>
  <c r="I218" i="4"/>
  <c r="I220" i="4"/>
  <c r="I202" i="4"/>
  <c r="H202" i="4"/>
  <c r="H204" i="4"/>
  <c r="I204" i="4"/>
  <c r="I199" i="4"/>
  <c r="H199" i="4"/>
  <c r="I206" i="4"/>
  <c r="H206" i="4"/>
  <c r="H207" i="4"/>
  <c r="I207" i="4"/>
  <c r="I189" i="4"/>
  <c r="H189" i="4"/>
  <c r="I186" i="4"/>
  <c r="H186" i="4"/>
  <c r="H188" i="4"/>
  <c r="I188" i="4"/>
  <c r="H192" i="4"/>
  <c r="I192" i="4"/>
  <c r="I173" i="4"/>
  <c r="H173" i="4"/>
  <c r="H175" i="4"/>
  <c r="I175" i="4"/>
  <c r="H179" i="4"/>
  <c r="I179" i="4"/>
  <c r="I182" i="4"/>
  <c r="H182" i="4"/>
  <c r="I159" i="4"/>
  <c r="H159" i="4"/>
  <c r="I158" i="4"/>
  <c r="H158" i="4"/>
  <c r="I167" i="4"/>
  <c r="H167" i="4"/>
  <c r="H169" i="4"/>
  <c r="I150" i="4"/>
  <c r="H150" i="4"/>
  <c r="H147" i="4"/>
  <c r="I149" i="4"/>
  <c r="H155" i="4"/>
  <c r="I155" i="4"/>
  <c r="H156" i="4"/>
  <c r="H133" i="4"/>
  <c r="I138" i="4"/>
  <c r="H138" i="4"/>
  <c r="H132" i="4"/>
  <c r="I135" i="4"/>
  <c r="H135" i="4"/>
  <c r="H141" i="4"/>
  <c r="I143" i="4"/>
  <c r="H143" i="4"/>
  <c r="H120" i="4"/>
  <c r="I125" i="4"/>
  <c r="H125" i="4"/>
  <c r="I122" i="4"/>
  <c r="I128" i="4"/>
  <c r="H128" i="4"/>
  <c r="I130" i="4"/>
  <c r="H130" i="4"/>
  <c r="H107" i="4"/>
  <c r="I112" i="4"/>
  <c r="H112" i="4"/>
  <c r="I106" i="4"/>
  <c r="H106" i="4"/>
  <c r="I115" i="4"/>
  <c r="H117" i="4"/>
  <c r="I93" i="4"/>
  <c r="I96" i="4"/>
  <c r="H96" i="4"/>
  <c r="I102" i="4"/>
  <c r="H102" i="4"/>
  <c r="I104" i="4"/>
  <c r="H104" i="4"/>
  <c r="I99" i="4"/>
  <c r="H99" i="4"/>
  <c r="I86" i="4"/>
  <c r="I89" i="4"/>
  <c r="I91" i="4"/>
  <c r="I73" i="4"/>
  <c r="I67" i="4"/>
  <c r="H76" i="4"/>
  <c r="I78" i="4"/>
  <c r="H78" i="4"/>
  <c r="H55" i="4"/>
  <c r="I60" i="4"/>
  <c r="H60" i="4"/>
  <c r="I57" i="4"/>
  <c r="I63" i="4"/>
  <c r="H63" i="4"/>
  <c r="I65" i="4"/>
  <c r="H65" i="4"/>
  <c r="H45" i="4"/>
  <c r="I45" i="4"/>
  <c r="H49" i="4"/>
  <c r="I49" i="4"/>
  <c r="I46" i="4"/>
  <c r="H46" i="4"/>
  <c r="I47" i="4"/>
  <c r="H47" i="4"/>
  <c r="H48" i="4"/>
  <c r="H51" i="4"/>
  <c r="I51" i="4"/>
  <c r="I52" i="4"/>
  <c r="M32" i="4"/>
  <c r="N32" i="4" s="1"/>
  <c r="M30" i="4"/>
  <c r="N30" i="4" s="1"/>
  <c r="H30" i="4" s="1"/>
  <c r="M33" i="4"/>
  <c r="N33" i="4" s="1"/>
  <c r="H33" i="4" s="1"/>
  <c r="M35" i="4"/>
  <c r="N35" i="4" s="1"/>
  <c r="H35" i="4" s="1"/>
  <c r="M37" i="4"/>
  <c r="N37" i="4" s="1"/>
  <c r="H37" i="4" s="1"/>
  <c r="M28" i="4"/>
  <c r="N28" i="4" s="1"/>
  <c r="H28" i="4" s="1"/>
  <c r="M39" i="4"/>
  <c r="N39" i="4" s="1"/>
  <c r="H39" i="4" s="1"/>
  <c r="M29" i="4"/>
  <c r="N29" i="4" s="1"/>
  <c r="I29" i="4" s="1"/>
  <c r="N31" i="4"/>
  <c r="H31" i="4" s="1"/>
  <c r="M34" i="4"/>
  <c r="N34" i="4" s="1"/>
  <c r="H34" i="4" s="1"/>
  <c r="M36" i="4"/>
  <c r="N36" i="4" s="1"/>
  <c r="H36" i="4" s="1"/>
  <c r="M38" i="4"/>
  <c r="N38" i="4" s="1"/>
  <c r="H38" i="4" s="1"/>
  <c r="I34" i="4"/>
  <c r="I37" i="4"/>
  <c r="I28" i="4"/>
  <c r="M36" i="1"/>
  <c r="N36" i="1" s="1"/>
  <c r="H36" i="1" s="1"/>
  <c r="M29" i="1"/>
  <c r="M32" i="1"/>
  <c r="N41" i="1"/>
  <c r="I41" i="1" s="1"/>
  <c r="N43" i="1"/>
  <c r="N46" i="1"/>
  <c r="I46" i="1" s="1"/>
  <c r="N49" i="1"/>
  <c r="I49" i="1" s="1"/>
  <c r="N57" i="1"/>
  <c r="H57" i="1" s="1"/>
  <c r="N60" i="1"/>
  <c r="H60" i="1" s="1"/>
  <c r="N63" i="1"/>
  <c r="I63" i="1" s="1"/>
  <c r="N67" i="1"/>
  <c r="H67" i="1" s="1"/>
  <c r="N69" i="1"/>
  <c r="H69" i="1" s="1"/>
  <c r="N72" i="1"/>
  <c r="I72" i="1" s="1"/>
  <c r="N75" i="1"/>
  <c r="H75" i="1" s="1"/>
  <c r="N83" i="1"/>
  <c r="H83" i="1" s="1"/>
  <c r="N86" i="1"/>
  <c r="H86" i="1" s="1"/>
  <c r="N89" i="1"/>
  <c r="I89" i="1" s="1"/>
  <c r="N97" i="1"/>
  <c r="H97" i="1" s="1"/>
  <c r="N98" i="1"/>
  <c r="H98" i="1" s="1"/>
  <c r="N104" i="1"/>
  <c r="I104" i="1" s="1"/>
  <c r="N109" i="1"/>
  <c r="H109" i="1" s="1"/>
  <c r="N115" i="1"/>
  <c r="I115" i="1" s="1"/>
  <c r="N123" i="1"/>
  <c r="H123" i="1" s="1"/>
  <c r="N129" i="1"/>
  <c r="H129" i="1" s="1"/>
  <c r="N136" i="1"/>
  <c r="I136" i="1" s="1"/>
  <c r="N142" i="1"/>
  <c r="H142" i="1" s="1"/>
  <c r="N149" i="1"/>
  <c r="H149" i="1" s="1"/>
  <c r="N155" i="1"/>
  <c r="H155" i="1" s="1"/>
  <c r="N162" i="1"/>
  <c r="I162" i="1" s="1"/>
  <c r="N163" i="1"/>
  <c r="I163" i="1" s="1"/>
  <c r="N169" i="1"/>
  <c r="H169" i="1" s="1"/>
  <c r="N172" i="1"/>
  <c r="I172" i="1" s="1"/>
  <c r="N178" i="1"/>
  <c r="I178" i="1" s="1"/>
  <c r="N182" i="1"/>
  <c r="I182" i="1" s="1"/>
  <c r="N187" i="1"/>
  <c r="H187" i="1" s="1"/>
  <c r="N193" i="1"/>
  <c r="H193" i="1" s="1"/>
  <c r="N200" i="1"/>
  <c r="H200" i="1" s="1"/>
  <c r="N206" i="1"/>
  <c r="H206" i="1" s="1"/>
  <c r="N211" i="1"/>
  <c r="N217" i="1"/>
  <c r="H217" i="1" s="1"/>
  <c r="N221" i="1"/>
  <c r="H221" i="1" s="1"/>
  <c r="N224" i="1"/>
  <c r="H224" i="1" s="1"/>
  <c r="N230" i="1"/>
  <c r="I230" i="1" s="1"/>
  <c r="N234" i="1"/>
  <c r="H234" i="1" s="1"/>
  <c r="N239" i="1"/>
  <c r="H239" i="1" s="1"/>
  <c r="N245" i="1"/>
  <c r="H245" i="1" s="1"/>
  <c r="N253" i="1"/>
  <c r="I253" i="1" s="1"/>
  <c r="N259" i="1"/>
  <c r="I259" i="1" s="1"/>
  <c r="N266" i="1"/>
  <c r="H266" i="1" s="1"/>
  <c r="N272" i="1"/>
  <c r="I272" i="1" s="1"/>
  <c r="N279" i="1"/>
  <c r="I279" i="1" s="1"/>
  <c r="N280" i="1"/>
  <c r="H280" i="1" s="1"/>
  <c r="N286" i="1"/>
  <c r="H286" i="1" s="1"/>
  <c r="N289" i="1"/>
  <c r="H289" i="1" s="1"/>
  <c r="N295" i="1"/>
  <c r="I295" i="1" s="1"/>
  <c r="N299" i="1"/>
  <c r="H299" i="1" s="1"/>
  <c r="N304" i="1"/>
  <c r="H304" i="1" s="1"/>
  <c r="N310" i="1"/>
  <c r="H310" i="1" s="1"/>
  <c r="N317" i="1"/>
  <c r="I317" i="1" s="1"/>
  <c r="N323" i="1"/>
  <c r="H323" i="1" s="1"/>
  <c r="N331" i="1"/>
  <c r="I331" i="1" s="1"/>
  <c r="N332" i="1"/>
  <c r="I332" i="1" s="1"/>
  <c r="N337" i="1"/>
  <c r="I337" i="1" s="1"/>
  <c r="N344" i="1"/>
  <c r="I344" i="1" s="1"/>
  <c r="N345" i="1"/>
  <c r="I345" i="1" s="1"/>
  <c r="N350" i="1"/>
  <c r="I350" i="1" s="1"/>
  <c r="N356" i="1"/>
  <c r="H356" i="1" s="1"/>
  <c r="I356" i="1"/>
  <c r="H317" i="1"/>
  <c r="H295" i="1"/>
  <c r="H230" i="1"/>
  <c r="H211" i="1"/>
  <c r="H331" i="1"/>
  <c r="I304" i="1"/>
  <c r="I286" i="1"/>
  <c r="I245" i="1"/>
  <c r="I239" i="1"/>
  <c r="I224" i="1"/>
  <c r="I211" i="1"/>
  <c r="I206" i="1"/>
  <c r="I200" i="1"/>
  <c r="H337" i="1"/>
  <c r="I266" i="1"/>
  <c r="H182" i="1"/>
  <c r="H178" i="1"/>
  <c r="H172" i="1"/>
  <c r="H163" i="1"/>
  <c r="H162" i="1"/>
  <c r="H136" i="1"/>
  <c r="H115" i="1"/>
  <c r="H72" i="1"/>
  <c r="H63" i="1"/>
  <c r="I187" i="1"/>
  <c r="I169" i="1"/>
  <c r="I142" i="1"/>
  <c r="I109" i="1"/>
  <c r="I97" i="1"/>
  <c r="I75" i="1"/>
  <c r="I60" i="1"/>
  <c r="I43" i="1"/>
  <c r="H43" i="1"/>
  <c r="N414" i="1"/>
  <c r="H414" i="1" s="1"/>
  <c r="N413" i="1"/>
  <c r="I413" i="1" s="1"/>
  <c r="N411" i="1"/>
  <c r="I411" i="1" s="1"/>
  <c r="N410" i="1"/>
  <c r="I410" i="1" s="1"/>
  <c r="N408" i="1"/>
  <c r="H408" i="1" s="1"/>
  <c r="N407" i="1"/>
  <c r="I407" i="1" s="1"/>
  <c r="N405" i="1"/>
  <c r="N403" i="1"/>
  <c r="H403" i="1" s="1"/>
  <c r="N400" i="1"/>
  <c r="I400" i="1" s="1"/>
  <c r="N399" i="1"/>
  <c r="H399" i="1" s="1"/>
  <c r="N398" i="1"/>
  <c r="I398" i="1" s="1"/>
  <c r="N394" i="1"/>
  <c r="I394" i="1" s="1"/>
  <c r="N393" i="1"/>
  <c r="H393" i="1" s="1"/>
  <c r="N392" i="1"/>
  <c r="I392" i="1" s="1"/>
  <c r="N390" i="1"/>
  <c r="H390" i="1" s="1"/>
  <c r="N387" i="1"/>
  <c r="I387" i="1" s="1"/>
  <c r="N386" i="1"/>
  <c r="H386" i="1" s="1"/>
  <c r="N416" i="1"/>
  <c r="H416" i="1" s="1"/>
  <c r="N415" i="1"/>
  <c r="I415" i="1" s="1"/>
  <c r="N412" i="1"/>
  <c r="H412" i="1" s="1"/>
  <c r="N409" i="1"/>
  <c r="I409" i="1" s="1"/>
  <c r="N406" i="1"/>
  <c r="I406" i="1" s="1"/>
  <c r="N402" i="1"/>
  <c r="I402" i="1" s="1"/>
  <c r="N401" i="1"/>
  <c r="N397" i="1"/>
  <c r="I397" i="1" s="1"/>
  <c r="N396" i="1"/>
  <c r="I396" i="1" s="1"/>
  <c r="N395" i="1"/>
  <c r="H395" i="1" s="1"/>
  <c r="N389" i="1"/>
  <c r="I389" i="1" s="1"/>
  <c r="N388" i="1"/>
  <c r="I388" i="1" s="1"/>
  <c r="N384" i="1"/>
  <c r="N383" i="1"/>
  <c r="I383" i="1" s="1"/>
  <c r="N382" i="1"/>
  <c r="H382" i="1" s="1"/>
  <c r="N376" i="1"/>
  <c r="I376" i="1" s="1"/>
  <c r="N375" i="1"/>
  <c r="I375" i="1" s="1"/>
  <c r="N371" i="1"/>
  <c r="I371" i="1" s="1"/>
  <c r="N370" i="1"/>
  <c r="I370" i="1" s="1"/>
  <c r="N369" i="1"/>
  <c r="H369" i="1" s="1"/>
  <c r="N364" i="1"/>
  <c r="H364" i="1" s="1"/>
  <c r="N363" i="1"/>
  <c r="I363" i="1" s="1"/>
  <c r="N360" i="1"/>
  <c r="H360" i="1" s="1"/>
  <c r="N357" i="1"/>
  <c r="I357" i="1" s="1"/>
  <c r="N354" i="1"/>
  <c r="N351" i="1"/>
  <c r="H351" i="1" s="1"/>
  <c r="N348" i="1"/>
  <c r="I348" i="1" s="1"/>
  <c r="N347" i="1"/>
  <c r="H347" i="1" s="1"/>
  <c r="N346" i="1"/>
  <c r="I346" i="1" s="1"/>
  <c r="N342" i="1"/>
  <c r="I342" i="1" s="1"/>
  <c r="N341" i="1"/>
  <c r="I341" i="1" s="1"/>
  <c r="N340" i="1"/>
  <c r="I340" i="1" s="1"/>
  <c r="N338" i="1"/>
  <c r="H338" i="1" s="1"/>
  <c r="N335" i="1"/>
  <c r="I335" i="1" s="1"/>
  <c r="N334" i="1"/>
  <c r="H334" i="1" s="1"/>
  <c r="N333" i="1"/>
  <c r="I333" i="1" s="1"/>
  <c r="N329" i="1"/>
  <c r="I329" i="1" s="1"/>
  <c r="N328" i="1"/>
  <c r="H328" i="1" s="1"/>
  <c r="N327" i="1"/>
  <c r="I327" i="1" s="1"/>
  <c r="N324" i="1"/>
  <c r="I324" i="1" s="1"/>
  <c r="N322" i="1"/>
  <c r="N321" i="1"/>
  <c r="H321" i="1" s="1"/>
  <c r="N320" i="1"/>
  <c r="N316" i="1"/>
  <c r="I316" i="1" s="1"/>
  <c r="N315" i="1"/>
  <c r="H315" i="1" s="1"/>
  <c r="N314" i="1"/>
  <c r="H314" i="1" s="1"/>
  <c r="N312" i="1"/>
  <c r="H312" i="1" s="1"/>
  <c r="N309" i="1"/>
  <c r="I309" i="1" s="1"/>
  <c r="N308" i="1"/>
  <c r="H308" i="1" s="1"/>
  <c r="N307" i="1"/>
  <c r="I307" i="1" s="1"/>
  <c r="N303" i="1"/>
  <c r="H303" i="1" s="1"/>
  <c r="N302" i="1"/>
  <c r="H302" i="1" s="1"/>
  <c r="N301" i="1"/>
  <c r="I301" i="1" s="1"/>
  <c r="N297" i="1"/>
  <c r="H297" i="1" s="1"/>
  <c r="N296" i="1"/>
  <c r="H296" i="1" s="1"/>
  <c r="N294" i="1"/>
  <c r="H294" i="1" s="1"/>
  <c r="N293" i="1"/>
  <c r="H293" i="1" s="1"/>
  <c r="N291" i="1"/>
  <c r="H291" i="1" s="1"/>
  <c r="N290" i="1"/>
  <c r="I290" i="1" s="1"/>
  <c r="N288" i="1"/>
  <c r="H288" i="1" s="1"/>
  <c r="N285" i="1"/>
  <c r="N283" i="1"/>
  <c r="I283" i="1" s="1"/>
  <c r="N282" i="1"/>
  <c r="H282" i="1" s="1"/>
  <c r="N281" i="1"/>
  <c r="I281" i="1" s="1"/>
  <c r="N277" i="1"/>
  <c r="H277" i="1" s="1"/>
  <c r="N276" i="1"/>
  <c r="H276" i="1" s="1"/>
  <c r="N275" i="1"/>
  <c r="I275" i="1" s="1"/>
  <c r="N271" i="1"/>
  <c r="H271" i="1" s="1"/>
  <c r="N270" i="1"/>
  <c r="N268" i="1"/>
  <c r="I268" i="1" s="1"/>
  <c r="N267" i="1"/>
  <c r="H267" i="1" s="1"/>
  <c r="N265" i="1"/>
  <c r="H265" i="1" s="1"/>
  <c r="N264" i="1"/>
  <c r="I264" i="1" s="1"/>
  <c r="N262" i="1"/>
  <c r="I262" i="1" s="1"/>
  <c r="N258" i="1"/>
  <c r="H258" i="1" s="1"/>
  <c r="N257" i="1"/>
  <c r="I257" i="1" s="1"/>
  <c r="N255" i="1"/>
  <c r="I255" i="1" s="1"/>
  <c r="N254" i="1"/>
  <c r="H254" i="1" s="1"/>
  <c r="N252" i="1"/>
  <c r="H252" i="1" s="1"/>
  <c r="N251" i="1"/>
  <c r="I251" i="1" s="1"/>
  <c r="N249" i="1"/>
  <c r="N246" i="1"/>
  <c r="I246" i="1" s="1"/>
  <c r="N244" i="1"/>
  <c r="N243" i="1"/>
  <c r="H243" i="1" s="1"/>
  <c r="N242" i="1"/>
  <c r="H242" i="1" s="1"/>
  <c r="N238" i="1"/>
  <c r="I238" i="1" s="1"/>
  <c r="N237" i="1"/>
  <c r="H237" i="1" s="1"/>
  <c r="N236" i="1"/>
  <c r="I236" i="1" s="1"/>
  <c r="N232" i="1"/>
  <c r="H232" i="1" s="1"/>
  <c r="N231" i="1"/>
  <c r="I231" i="1" s="1"/>
  <c r="N229" i="1"/>
  <c r="I229" i="1" s="1"/>
  <c r="N228" i="1"/>
  <c r="H228" i="1" s="1"/>
  <c r="N226" i="1"/>
  <c r="H226" i="1" s="1"/>
  <c r="N225" i="1"/>
  <c r="I225" i="1" s="1"/>
  <c r="N223" i="1"/>
  <c r="I223" i="1" s="1"/>
  <c r="N219" i="1"/>
  <c r="H219" i="1" s="1"/>
  <c r="N218" i="1"/>
  <c r="N216" i="1"/>
  <c r="H216" i="1" s="1"/>
  <c r="N215" i="1"/>
  <c r="H215" i="1" s="1"/>
  <c r="N213" i="1"/>
  <c r="H213" i="1" s="1"/>
  <c r="N212" i="1"/>
  <c r="I212" i="1" s="1"/>
  <c r="N210" i="1"/>
  <c r="H210" i="1" s="1"/>
  <c r="N208" i="1"/>
  <c r="H208" i="1" s="1"/>
  <c r="N205" i="1"/>
  <c r="I205" i="1" s="1"/>
  <c r="N204" i="1"/>
  <c r="H204" i="1" s="1"/>
  <c r="N203" i="1"/>
  <c r="I203" i="1" s="1"/>
  <c r="N199" i="1"/>
  <c r="H199" i="1" s="1"/>
  <c r="N198" i="1"/>
  <c r="H198" i="1" s="1"/>
  <c r="N197" i="1"/>
  <c r="I197" i="1" s="1"/>
  <c r="N195" i="1"/>
  <c r="H195" i="1" s="1"/>
  <c r="N192" i="1"/>
  <c r="N191" i="1"/>
  <c r="H191" i="1" s="1"/>
  <c r="N190" i="1"/>
  <c r="N186" i="1"/>
  <c r="H186" i="1" s="1"/>
  <c r="N185" i="1"/>
  <c r="I185" i="1" s="1"/>
  <c r="N184" i="1"/>
  <c r="H184" i="1" s="1"/>
  <c r="N180" i="1"/>
  <c r="I180" i="1" s="1"/>
  <c r="N179" i="1"/>
  <c r="H179" i="1" s="1"/>
  <c r="N177" i="1"/>
  <c r="H177" i="1" s="1"/>
  <c r="N176" i="1"/>
  <c r="I176" i="1" s="1"/>
  <c r="N174" i="1"/>
  <c r="I174" i="1" s="1"/>
  <c r="N173" i="1"/>
  <c r="H173" i="1" s="1"/>
  <c r="N171" i="1"/>
  <c r="I171" i="1" s="1"/>
  <c r="N168" i="1"/>
  <c r="H168" i="1" s="1"/>
  <c r="N166" i="1"/>
  <c r="H166" i="1" s="1"/>
  <c r="N165" i="1"/>
  <c r="I165" i="1" s="1"/>
  <c r="N164" i="1"/>
  <c r="H164" i="1" s="1"/>
  <c r="N160" i="1"/>
  <c r="H160" i="1" s="1"/>
  <c r="N159" i="1"/>
  <c r="I159" i="1" s="1"/>
  <c r="N158" i="1"/>
  <c r="H158" i="1" s="1"/>
  <c r="N154" i="1"/>
  <c r="I154" i="1" s="1"/>
  <c r="N153" i="1"/>
  <c r="H153" i="1" s="1"/>
  <c r="N151" i="1"/>
  <c r="H151" i="1" s="1"/>
  <c r="N150" i="1"/>
  <c r="I150" i="1" s="1"/>
  <c r="N148" i="1"/>
  <c r="I148" i="1" s="1"/>
  <c r="N147" i="1"/>
  <c r="H147" i="1" s="1"/>
  <c r="N145" i="1"/>
  <c r="N141" i="1"/>
  <c r="I141" i="1" s="1"/>
  <c r="N140" i="1"/>
  <c r="H140" i="1" s="1"/>
  <c r="N138" i="1"/>
  <c r="H138" i="1" s="1"/>
  <c r="N137" i="1"/>
  <c r="I137" i="1" s="1"/>
  <c r="N135" i="1"/>
  <c r="I135" i="1" s="1"/>
  <c r="N134" i="1"/>
  <c r="H134" i="1" s="1"/>
  <c r="N132" i="1"/>
  <c r="I132" i="1" s="1"/>
  <c r="N128" i="1"/>
  <c r="I128" i="1" s="1"/>
  <c r="N127" i="1"/>
  <c r="H127" i="1" s="1"/>
  <c r="N125" i="1"/>
  <c r="H125" i="1" s="1"/>
  <c r="N124" i="1"/>
  <c r="I124" i="1" s="1"/>
  <c r="N122" i="1"/>
  <c r="I122" i="1" s="1"/>
  <c r="N121" i="1"/>
  <c r="H121" i="1" s="1"/>
  <c r="N119" i="1"/>
  <c r="N116" i="1"/>
  <c r="H116" i="1" s="1"/>
  <c r="N114" i="1"/>
  <c r="H114" i="1" s="1"/>
  <c r="N113" i="1"/>
  <c r="I113" i="1" s="1"/>
  <c r="N112" i="1"/>
  <c r="H112" i="1" s="1"/>
  <c r="N108" i="1"/>
  <c r="H108" i="1" s="1"/>
  <c r="N107" i="1"/>
  <c r="I107" i="1" s="1"/>
  <c r="N106" i="1"/>
  <c r="H106" i="1" s="1"/>
  <c r="N103" i="1"/>
  <c r="H103" i="1" s="1"/>
  <c r="N101" i="1"/>
  <c r="H101" i="1" s="1"/>
  <c r="N100" i="1"/>
  <c r="I100" i="1" s="1"/>
  <c r="N99" i="1"/>
  <c r="H99" i="1" s="1"/>
  <c r="N95" i="1"/>
  <c r="H95" i="1" s="1"/>
  <c r="N94" i="1"/>
  <c r="I94" i="1" s="1"/>
  <c r="N93" i="1"/>
  <c r="H93" i="1" s="1"/>
  <c r="N90" i="1"/>
  <c r="H90" i="1" s="1"/>
  <c r="N87" i="1"/>
  <c r="I87" i="1" s="1"/>
  <c r="N84" i="1"/>
  <c r="H84" i="1" s="1"/>
  <c r="N81" i="1"/>
  <c r="I81" i="1" s="1"/>
  <c r="N78" i="1"/>
  <c r="I78" i="1" s="1"/>
  <c r="N77" i="1"/>
  <c r="H77" i="1" s="1"/>
  <c r="N74" i="1"/>
  <c r="I74" i="1" s="1"/>
  <c r="N71" i="1"/>
  <c r="H71" i="1" s="1"/>
  <c r="N68" i="1"/>
  <c r="I68" i="1" s="1"/>
  <c r="N65" i="1"/>
  <c r="N64" i="1"/>
  <c r="H64" i="1" s="1"/>
  <c r="N61" i="1"/>
  <c r="H61" i="1" s="1"/>
  <c r="N58" i="1"/>
  <c r="H58" i="1" s="1"/>
  <c r="N55" i="1"/>
  <c r="I55" i="1" s="1"/>
  <c r="N52" i="1"/>
  <c r="H52" i="1" s="1"/>
  <c r="N51" i="1"/>
  <c r="H51" i="1" s="1"/>
  <c r="N48" i="1"/>
  <c r="I48" i="1" s="1"/>
  <c r="N45" i="1"/>
  <c r="N42" i="1"/>
  <c r="I42" i="1" s="1"/>
  <c r="M33" i="1"/>
  <c r="N33" i="1" s="1"/>
  <c r="M35" i="1"/>
  <c r="M37" i="1"/>
  <c r="M39" i="1"/>
  <c r="N381" i="1"/>
  <c r="I381" i="1" s="1"/>
  <c r="N380" i="1"/>
  <c r="I380" i="1" s="1"/>
  <c r="N379" i="1"/>
  <c r="I379" i="1" s="1"/>
  <c r="N377" i="1"/>
  <c r="H377" i="1" s="1"/>
  <c r="N374" i="1"/>
  <c r="I374" i="1" s="1"/>
  <c r="N373" i="1"/>
  <c r="H373" i="1" s="1"/>
  <c r="N372" i="1"/>
  <c r="I372" i="1" s="1"/>
  <c r="N368" i="1"/>
  <c r="I368" i="1" s="1"/>
  <c r="N367" i="1"/>
  <c r="I367" i="1" s="1"/>
  <c r="N366" i="1"/>
  <c r="I366" i="1" s="1"/>
  <c r="N362" i="1"/>
  <c r="N361" i="1"/>
  <c r="I361" i="1" s="1"/>
  <c r="N359" i="1"/>
  <c r="I359" i="1" s="1"/>
  <c r="M38" i="1"/>
  <c r="M34" i="1"/>
  <c r="N34" i="1" s="1"/>
  <c r="M30" i="1"/>
  <c r="N44" i="1"/>
  <c r="I44" i="1" s="1"/>
  <c r="N47" i="1"/>
  <c r="N50" i="1"/>
  <c r="I50" i="1" s="1"/>
  <c r="N54" i="1"/>
  <c r="N56" i="1"/>
  <c r="H56" i="1" s="1"/>
  <c r="N59" i="1"/>
  <c r="I59" i="1" s="1"/>
  <c r="N62" i="1"/>
  <c r="H62" i="1" s="1"/>
  <c r="N70" i="1"/>
  <c r="I70" i="1" s="1"/>
  <c r="N73" i="1"/>
  <c r="H73" i="1" s="1"/>
  <c r="N76" i="1"/>
  <c r="I76" i="1" s="1"/>
  <c r="N80" i="1"/>
  <c r="I80" i="1" s="1"/>
  <c r="N82" i="1"/>
  <c r="H82" i="1" s="1"/>
  <c r="N85" i="1"/>
  <c r="I85" i="1" s="1"/>
  <c r="N88" i="1"/>
  <c r="H88" i="1" s="1"/>
  <c r="N91" i="1"/>
  <c r="I91" i="1" s="1"/>
  <c r="N96" i="1"/>
  <c r="I96" i="1" s="1"/>
  <c r="N102" i="1"/>
  <c r="I102" i="1" s="1"/>
  <c r="N110" i="1"/>
  <c r="H110" i="1" s="1"/>
  <c r="N111" i="1"/>
  <c r="I111" i="1" s="1"/>
  <c r="N117" i="1"/>
  <c r="I117" i="1" s="1"/>
  <c r="N120" i="1"/>
  <c r="I120" i="1" s="1"/>
  <c r="N126" i="1"/>
  <c r="I126" i="1" s="1"/>
  <c r="N130" i="1"/>
  <c r="I130" i="1" s="1"/>
  <c r="N133" i="1"/>
  <c r="I133" i="1" s="1"/>
  <c r="N139" i="1"/>
  <c r="I139" i="1" s="1"/>
  <c r="N143" i="1"/>
  <c r="I143" i="1" s="1"/>
  <c r="N146" i="1"/>
  <c r="I146" i="1" s="1"/>
  <c r="N152" i="1"/>
  <c r="I152" i="1" s="1"/>
  <c r="N156" i="1"/>
  <c r="I156" i="1" s="1"/>
  <c r="N161" i="1"/>
  <c r="I161" i="1" s="1"/>
  <c r="N167" i="1"/>
  <c r="I167" i="1" s="1"/>
  <c r="N175" i="1"/>
  <c r="H175" i="1" s="1"/>
  <c r="N181" i="1"/>
  <c r="H181" i="1" s="1"/>
  <c r="N188" i="1"/>
  <c r="I188" i="1" s="1"/>
  <c r="N189" i="1"/>
  <c r="H189" i="1" s="1"/>
  <c r="N194" i="1"/>
  <c r="I194" i="1" s="1"/>
  <c r="N201" i="1"/>
  <c r="H201" i="1" s="1"/>
  <c r="N202" i="1"/>
  <c r="H202" i="1" s="1"/>
  <c r="N207" i="1"/>
  <c r="I207" i="1" s="1"/>
  <c r="N214" i="1"/>
  <c r="I214" i="1" s="1"/>
  <c r="N220" i="1"/>
  <c r="I220" i="1" s="1"/>
  <c r="N227" i="1"/>
  <c r="H227" i="1" s="1"/>
  <c r="N233" i="1"/>
  <c r="H233" i="1" s="1"/>
  <c r="N240" i="1"/>
  <c r="I240" i="1" s="1"/>
  <c r="N241" i="1"/>
  <c r="H241" i="1" s="1"/>
  <c r="N247" i="1"/>
  <c r="H247" i="1" s="1"/>
  <c r="N250" i="1"/>
  <c r="H250" i="1" s="1"/>
  <c r="N256" i="1"/>
  <c r="H256" i="1" s="1"/>
  <c r="N260" i="1"/>
  <c r="H260" i="1" s="1"/>
  <c r="N263" i="1"/>
  <c r="H263" i="1" s="1"/>
  <c r="N269" i="1"/>
  <c r="H269" i="1" s="1"/>
  <c r="N273" i="1"/>
  <c r="H273" i="1" s="1"/>
  <c r="N278" i="1"/>
  <c r="H278" i="1" s="1"/>
  <c r="N284" i="1"/>
  <c r="H284" i="1" s="1"/>
  <c r="N292" i="1"/>
  <c r="I292" i="1" s="1"/>
  <c r="N298" i="1"/>
  <c r="I298" i="1" s="1"/>
  <c r="N305" i="1"/>
  <c r="H305" i="1" s="1"/>
  <c r="N306" i="1"/>
  <c r="H306" i="1" s="1"/>
  <c r="N311" i="1"/>
  <c r="I311" i="1" s="1"/>
  <c r="N318" i="1"/>
  <c r="I318" i="1" s="1"/>
  <c r="N319" i="1"/>
  <c r="H319" i="1" s="1"/>
  <c r="N325" i="1"/>
  <c r="H325" i="1" s="1"/>
  <c r="N330" i="1"/>
  <c r="H330" i="1" s="1"/>
  <c r="N336" i="1"/>
  <c r="N343" i="1"/>
  <c r="H343" i="1" s="1"/>
  <c r="N349" i="1"/>
  <c r="N353" i="1"/>
  <c r="I353" i="1" s="1"/>
  <c r="N355" i="1"/>
  <c r="I355" i="1" s="1"/>
  <c r="N358" i="1"/>
  <c r="H358" i="1" s="1"/>
  <c r="N32" i="1"/>
  <c r="I32" i="1" s="1"/>
  <c r="N38" i="1"/>
  <c r="H38" i="1" s="1"/>
  <c r="I240" i="4" l="1"/>
  <c r="H240" i="4"/>
  <c r="H217" i="4"/>
  <c r="I217" i="4"/>
  <c r="H194" i="4"/>
  <c r="I194" i="4"/>
  <c r="H162" i="4"/>
  <c r="I162" i="4"/>
  <c r="I94" i="4"/>
  <c r="H94" i="4"/>
  <c r="H74" i="4"/>
  <c r="I74" i="4"/>
  <c r="I360" i="4"/>
  <c r="H360" i="4"/>
  <c r="I260" i="4"/>
  <c r="H260" i="4"/>
  <c r="I164" i="4"/>
  <c r="H164" i="4"/>
  <c r="H178" i="4"/>
  <c r="I178" i="4"/>
  <c r="H145" i="4"/>
  <c r="I145" i="4"/>
  <c r="I90" i="4"/>
  <c r="H90" i="4"/>
  <c r="I340" i="4"/>
  <c r="H340" i="4"/>
  <c r="I109" i="4"/>
  <c r="H109" i="4"/>
  <c r="I59" i="4"/>
  <c r="H59" i="4"/>
  <c r="H81" i="4"/>
  <c r="I81" i="4"/>
  <c r="H87" i="4"/>
  <c r="I87" i="4"/>
  <c r="H362" i="4"/>
  <c r="I362" i="4"/>
  <c r="H347" i="4"/>
  <c r="I347" i="4"/>
  <c r="H310" i="4"/>
  <c r="I310" i="4"/>
  <c r="H41" i="1"/>
  <c r="I69" i="1"/>
  <c r="H44" i="4"/>
  <c r="H54" i="4"/>
  <c r="H61" i="4"/>
  <c r="I61" i="4"/>
  <c r="I137" i="4"/>
  <c r="H137" i="4"/>
  <c r="H263" i="4"/>
  <c r="I263" i="4"/>
  <c r="I124" i="4"/>
  <c r="H124" i="4"/>
  <c r="H142" i="4"/>
  <c r="I142" i="4"/>
  <c r="H153" i="4"/>
  <c r="I153" i="4"/>
  <c r="I161" i="4"/>
  <c r="H161" i="4"/>
  <c r="H185" i="4"/>
  <c r="I185" i="4"/>
  <c r="H191" i="4"/>
  <c r="I191" i="4"/>
  <c r="H282" i="4"/>
  <c r="I282" i="4"/>
  <c r="H364" i="4"/>
  <c r="I364" i="4"/>
  <c r="H334" i="4"/>
  <c r="I334" i="4"/>
  <c r="H304" i="4"/>
  <c r="I304" i="4"/>
  <c r="H270" i="4"/>
  <c r="I270" i="4"/>
  <c r="H201" i="4"/>
  <c r="I201" i="4"/>
  <c r="H197" i="4"/>
  <c r="I197" i="4"/>
  <c r="H114" i="4"/>
  <c r="I114" i="4"/>
  <c r="H335" i="4"/>
  <c r="I335" i="4"/>
  <c r="H309" i="4"/>
  <c r="I309" i="4"/>
  <c r="H269" i="4"/>
  <c r="I269" i="4"/>
  <c r="H252" i="4"/>
  <c r="I252" i="4"/>
  <c r="H226" i="4"/>
  <c r="I226" i="4"/>
  <c r="I193" i="4"/>
  <c r="H193" i="4"/>
  <c r="H166" i="4"/>
  <c r="I166" i="4"/>
  <c r="H71" i="4"/>
  <c r="I71" i="4"/>
  <c r="H104" i="1"/>
  <c r="I193" i="1"/>
  <c r="H253" i="1"/>
  <c r="I43" i="4"/>
  <c r="H70" i="4"/>
  <c r="H68" i="4"/>
  <c r="I181" i="4"/>
  <c r="H176" i="4"/>
  <c r="I205" i="4"/>
  <c r="H212" i="4"/>
  <c r="I265" i="4"/>
  <c r="I322" i="4"/>
  <c r="H349" i="4"/>
  <c r="I171" i="4"/>
  <c r="I50" i="4"/>
  <c r="I127" i="4"/>
  <c r="I236" i="4"/>
  <c r="I190" i="4"/>
  <c r="I221" i="4"/>
  <c r="I314" i="4"/>
  <c r="H152" i="4"/>
  <c r="I152" i="4"/>
  <c r="I264" i="4"/>
  <c r="H264" i="4"/>
  <c r="I80" i="4"/>
  <c r="H80" i="4"/>
  <c r="H126" i="4"/>
  <c r="I126" i="4"/>
  <c r="H242" i="4"/>
  <c r="I242" i="4"/>
  <c r="I111" i="4"/>
  <c r="H111" i="4"/>
  <c r="H276" i="4"/>
  <c r="I276" i="4"/>
  <c r="I180" i="4"/>
  <c r="H180" i="4"/>
  <c r="H187" i="4"/>
  <c r="I187" i="4"/>
  <c r="I86" i="1"/>
  <c r="I155" i="1"/>
  <c r="H350" i="1"/>
  <c r="H279" i="1"/>
  <c r="I38" i="4"/>
  <c r="H32" i="4"/>
  <c r="I32" i="4"/>
  <c r="I232" i="4"/>
  <c r="I319" i="4"/>
  <c r="I116" i="4"/>
  <c r="I174" i="4"/>
  <c r="I85" i="4"/>
  <c r="H85" i="4"/>
  <c r="I119" i="4"/>
  <c r="H119" i="4"/>
  <c r="I163" i="4"/>
  <c r="H163" i="4"/>
  <c r="I195" i="4"/>
  <c r="H195" i="4"/>
  <c r="I291" i="4"/>
  <c r="H291" i="4"/>
  <c r="I299" i="4"/>
  <c r="H299" i="4"/>
  <c r="H337" i="4"/>
  <c r="I337" i="4"/>
  <c r="H83" i="4"/>
  <c r="H208" i="4"/>
  <c r="I279" i="4"/>
  <c r="H358" i="4"/>
  <c r="H290" i="4"/>
  <c r="I317" i="4"/>
  <c r="I239" i="4"/>
  <c r="I272" i="4"/>
  <c r="I203" i="4"/>
  <c r="I315" i="4"/>
  <c r="H82" i="4"/>
  <c r="I385" i="1"/>
  <c r="H385" i="1"/>
  <c r="M28" i="1"/>
  <c r="N28" i="1" s="1"/>
  <c r="I28" i="1" s="1"/>
  <c r="M31" i="1"/>
  <c r="N31" i="1" s="1"/>
  <c r="H29" i="4"/>
  <c r="H361" i="4"/>
  <c r="I129" i="1"/>
  <c r="H89" i="1"/>
  <c r="I57" i="1"/>
  <c r="I354" i="4"/>
  <c r="I302" i="4"/>
  <c r="I295" i="4"/>
  <c r="I211" i="4"/>
  <c r="I148" i="4"/>
  <c r="I146" i="4"/>
  <c r="I113" i="4"/>
  <c r="I110" i="4"/>
  <c r="H69" i="4"/>
  <c r="I77" i="4"/>
  <c r="I31" i="4"/>
  <c r="I33" i="4"/>
  <c r="I39" i="4"/>
  <c r="I36" i="4"/>
  <c r="I35" i="4"/>
  <c r="I30" i="4"/>
  <c r="H49" i="1"/>
  <c r="I67" i="1"/>
  <c r="I83" i="1"/>
  <c r="I98" i="1"/>
  <c r="I123" i="1"/>
  <c r="I149" i="1"/>
  <c r="I221" i="1"/>
  <c r="H345" i="1"/>
  <c r="I280" i="1"/>
  <c r="I289" i="1"/>
  <c r="I310" i="1"/>
  <c r="I323" i="1"/>
  <c r="H332" i="1"/>
  <c r="I52" i="1"/>
  <c r="I90" i="1"/>
  <c r="I101" i="1"/>
  <c r="I108" i="1"/>
  <c r="I116" i="1"/>
  <c r="I160" i="1"/>
  <c r="I168" i="1"/>
  <c r="I173" i="1"/>
  <c r="I179" i="1"/>
  <c r="I184" i="1"/>
  <c r="I216" i="1"/>
  <c r="I233" i="1"/>
  <c r="I294" i="1"/>
  <c r="H333" i="1"/>
  <c r="H368" i="1"/>
  <c r="H402" i="1"/>
  <c r="H78" i="1"/>
  <c r="H85" i="1"/>
  <c r="H91" i="1"/>
  <c r="H111" i="1"/>
  <c r="H130" i="1"/>
  <c r="H141" i="1"/>
  <c r="H156" i="1"/>
  <c r="H167" i="1"/>
  <c r="I210" i="1"/>
  <c r="I288" i="1"/>
  <c r="I314" i="1"/>
  <c r="I189" i="1"/>
  <c r="I198" i="1"/>
  <c r="I219" i="1"/>
  <c r="I241" i="1"/>
  <c r="I250" i="1"/>
  <c r="I271" i="1"/>
  <c r="I297" i="1"/>
  <c r="H340" i="1"/>
  <c r="H366" i="1"/>
  <c r="H400" i="1"/>
  <c r="H203" i="1"/>
  <c r="H207" i="1"/>
  <c r="H220" i="1"/>
  <c r="H225" i="1"/>
  <c r="H231" i="1"/>
  <c r="H236" i="1"/>
  <c r="H251" i="1"/>
  <c r="H257" i="1"/>
  <c r="H262" i="1"/>
  <c r="H268" i="1"/>
  <c r="H283" i="1"/>
  <c r="H307" i="1"/>
  <c r="H311" i="1"/>
  <c r="H316" i="1"/>
  <c r="H324" i="1"/>
  <c r="H371" i="1"/>
  <c r="H388" i="1"/>
  <c r="H397" i="1"/>
  <c r="I328" i="1"/>
  <c r="I351" i="1"/>
  <c r="I358" i="1"/>
  <c r="I377" i="1"/>
  <c r="I393" i="1"/>
  <c r="I414" i="1"/>
  <c r="I58" i="1"/>
  <c r="I62" i="1"/>
  <c r="I73" i="1"/>
  <c r="I84" i="1"/>
  <c r="I99" i="1"/>
  <c r="I106" i="1"/>
  <c r="I121" i="1"/>
  <c r="I127" i="1"/>
  <c r="I138" i="1"/>
  <c r="I147" i="1"/>
  <c r="I153" i="1"/>
  <c r="I158" i="1"/>
  <c r="I181" i="1"/>
  <c r="I186" i="1"/>
  <c r="H50" i="1"/>
  <c r="H68" i="1"/>
  <c r="H74" i="1"/>
  <c r="H94" i="1"/>
  <c r="H102" i="1"/>
  <c r="H113" i="1"/>
  <c r="H120" i="1"/>
  <c r="H124" i="1"/>
  <c r="H135" i="1"/>
  <c r="H139" i="1"/>
  <c r="H146" i="1"/>
  <c r="H150" i="1"/>
  <c r="H165" i="1"/>
  <c r="H176" i="1"/>
  <c r="I201" i="1"/>
  <c r="I305" i="1"/>
  <c r="I228" i="1"/>
  <c r="I254" i="1"/>
  <c r="I276" i="1"/>
  <c r="I302" i="1"/>
  <c r="I319" i="1"/>
  <c r="H357" i="1"/>
  <c r="H383" i="1"/>
  <c r="H409" i="1"/>
  <c r="H205" i="1"/>
  <c r="H238" i="1"/>
  <c r="H246" i="1"/>
  <c r="H259" i="1"/>
  <c r="H272" i="1"/>
  <c r="H281" i="1"/>
  <c r="H292" i="1"/>
  <c r="H309" i="1"/>
  <c r="H380" i="1"/>
  <c r="I330" i="1"/>
  <c r="I343" i="1"/>
  <c r="I347" i="1"/>
  <c r="I369" i="1"/>
  <c r="I373" i="1"/>
  <c r="I386" i="1"/>
  <c r="I390" i="1"/>
  <c r="I395" i="1"/>
  <c r="I408" i="1"/>
  <c r="H34" i="1"/>
  <c r="I34" i="1"/>
  <c r="H33" i="1"/>
  <c r="I33" i="1"/>
  <c r="I36" i="1"/>
  <c r="H28" i="1"/>
  <c r="H32" i="1"/>
  <c r="H45" i="1"/>
  <c r="H47" i="1"/>
  <c r="I61" i="1"/>
  <c r="I65" i="1"/>
  <c r="I45" i="1"/>
  <c r="I47" i="1"/>
  <c r="I54" i="1"/>
  <c r="I71" i="1"/>
  <c r="I77" i="1"/>
  <c r="I82" i="1"/>
  <c r="I88" i="1"/>
  <c r="I93" i="1"/>
  <c r="I95" i="1"/>
  <c r="I103" i="1"/>
  <c r="I110" i="1"/>
  <c r="I112" i="1"/>
  <c r="I114" i="1"/>
  <c r="I119" i="1"/>
  <c r="I125" i="1"/>
  <c r="I134" i="1"/>
  <c r="I140" i="1"/>
  <c r="I145" i="1"/>
  <c r="I151" i="1"/>
  <c r="I164" i="1"/>
  <c r="I166" i="1"/>
  <c r="I175" i="1"/>
  <c r="I177" i="1"/>
  <c r="I190" i="1"/>
  <c r="I199" i="1"/>
  <c r="I242" i="1"/>
  <c r="I277" i="1"/>
  <c r="I285" i="1"/>
  <c r="I303" i="1"/>
  <c r="I320" i="1"/>
  <c r="H55" i="1"/>
  <c r="H59" i="1"/>
  <c r="H65" i="1"/>
  <c r="H70" i="1"/>
  <c r="H76" i="1"/>
  <c r="H81" i="1"/>
  <c r="H87" i="1"/>
  <c r="H96" i="1"/>
  <c r="H100" i="1"/>
  <c r="H107" i="1"/>
  <c r="H117" i="1"/>
  <c r="H122" i="1"/>
  <c r="H126" i="1"/>
  <c r="H128" i="1"/>
  <c r="H133" i="1"/>
  <c r="H137" i="1"/>
  <c r="H143" i="1"/>
  <c r="H148" i="1"/>
  <c r="H152" i="1"/>
  <c r="H154" i="1"/>
  <c r="H159" i="1"/>
  <c r="H161" i="1"/>
  <c r="H174" i="1"/>
  <c r="H180" i="1"/>
  <c r="H185" i="1"/>
  <c r="I192" i="1"/>
  <c r="I218" i="1"/>
  <c r="I227" i="1"/>
  <c r="I244" i="1"/>
  <c r="I270" i="1"/>
  <c r="I296" i="1"/>
  <c r="I322" i="1"/>
  <c r="H355" i="1"/>
  <c r="H372" i="1"/>
  <c r="H389" i="1"/>
  <c r="H407" i="1"/>
  <c r="I202" i="1"/>
  <c r="I215" i="1"/>
  <c r="I232" i="1"/>
  <c r="I237" i="1"/>
  <c r="I258" i="1"/>
  <c r="I263" i="1"/>
  <c r="I267" i="1"/>
  <c r="I284" i="1"/>
  <c r="I293" i="1"/>
  <c r="I306" i="1"/>
  <c r="I315" i="1"/>
  <c r="H348" i="1"/>
  <c r="H374" i="1"/>
  <c r="H392" i="1"/>
  <c r="H188" i="1"/>
  <c r="H190" i="1"/>
  <c r="H192" i="1"/>
  <c r="H194" i="1"/>
  <c r="H197" i="1"/>
  <c r="H212" i="1"/>
  <c r="H214" i="1"/>
  <c r="H218" i="1"/>
  <c r="H223" i="1"/>
  <c r="H229" i="1"/>
  <c r="H240" i="1"/>
  <c r="H244" i="1"/>
  <c r="H249" i="1"/>
  <c r="H255" i="1"/>
  <c r="H264" i="1"/>
  <c r="H270" i="1"/>
  <c r="H275" i="1"/>
  <c r="H285" i="1"/>
  <c r="H290" i="1"/>
  <c r="H298" i="1"/>
  <c r="H301" i="1"/>
  <c r="H318" i="1"/>
  <c r="H320" i="1"/>
  <c r="H322" i="1"/>
  <c r="H336" i="1"/>
  <c r="H341" i="1"/>
  <c r="H349" i="1"/>
  <c r="H354" i="1"/>
  <c r="H362" i="1"/>
  <c r="H367" i="1"/>
  <c r="H375" i="1"/>
  <c r="H384" i="1"/>
  <c r="H401" i="1"/>
  <c r="H406" i="1"/>
  <c r="H410" i="1"/>
  <c r="I325" i="1"/>
  <c r="I334" i="1"/>
  <c r="I336" i="1"/>
  <c r="I338" i="1"/>
  <c r="I349" i="1"/>
  <c r="I354" i="1"/>
  <c r="I360" i="1"/>
  <c r="I362" i="1"/>
  <c r="I364" i="1"/>
  <c r="I382" i="1"/>
  <c r="I384" i="1"/>
  <c r="I399" i="1"/>
  <c r="I401" i="1"/>
  <c r="I403" i="1"/>
  <c r="I412" i="1"/>
  <c r="I416" i="1"/>
  <c r="I38" i="1"/>
  <c r="H42" i="1"/>
  <c r="H44" i="1"/>
  <c r="H46" i="1"/>
  <c r="H48" i="1"/>
  <c r="I51" i="1"/>
  <c r="I56" i="1"/>
  <c r="I64" i="1"/>
  <c r="H342" i="1"/>
  <c r="H359" i="1"/>
  <c r="H376" i="1"/>
  <c r="H394" i="1"/>
  <c r="H411" i="1"/>
  <c r="H54" i="1"/>
  <c r="H80" i="1"/>
  <c r="H119" i="1"/>
  <c r="H132" i="1"/>
  <c r="H145" i="1"/>
  <c r="H171" i="1"/>
  <c r="I249" i="1"/>
  <c r="H329" i="1"/>
  <c r="H346" i="1"/>
  <c r="H363" i="1"/>
  <c r="H381" i="1"/>
  <c r="H398" i="1"/>
  <c r="H415" i="1"/>
  <c r="I191" i="1"/>
  <c r="I195" i="1"/>
  <c r="I204" i="1"/>
  <c r="I208" i="1"/>
  <c r="I213" i="1"/>
  <c r="I217" i="1"/>
  <c r="I226" i="1"/>
  <c r="I234" i="1"/>
  <c r="I243" i="1"/>
  <c r="I247" i="1"/>
  <c r="I252" i="1"/>
  <c r="I256" i="1"/>
  <c r="I260" i="1"/>
  <c r="I265" i="1"/>
  <c r="I269" i="1"/>
  <c r="I273" i="1"/>
  <c r="I278" i="1"/>
  <c r="I282" i="1"/>
  <c r="I291" i="1"/>
  <c r="I299" i="1"/>
  <c r="I308" i="1"/>
  <c r="I312" i="1"/>
  <c r="I321" i="1"/>
  <c r="H327" i="1"/>
  <c r="H335" i="1"/>
  <c r="H344" i="1"/>
  <c r="H353" i="1"/>
  <c r="H361" i="1"/>
  <c r="H370" i="1"/>
  <c r="H379" i="1"/>
  <c r="H387" i="1"/>
  <c r="H396" i="1"/>
  <c r="H405" i="1"/>
  <c r="H413" i="1"/>
  <c r="I405" i="1"/>
  <c r="N39" i="1"/>
  <c r="N37" i="1"/>
  <c r="N35" i="1"/>
  <c r="N29" i="1"/>
  <c r="N30" i="1"/>
  <c r="F80" i="4"/>
  <c r="G39" i="4"/>
  <c r="G38" i="4"/>
  <c r="G37" i="4"/>
  <c r="G36" i="4"/>
  <c r="G35" i="4"/>
  <c r="G34" i="4"/>
  <c r="G33" i="4"/>
  <c r="G32" i="4"/>
  <c r="G31" i="4"/>
  <c r="G30" i="4"/>
  <c r="G29" i="4"/>
  <c r="I30" i="1" l="1"/>
  <c r="H30" i="1"/>
  <c r="H31" i="1"/>
  <c r="I31" i="1"/>
  <c r="I37" i="1"/>
  <c r="H37" i="1"/>
  <c r="H29" i="1"/>
  <c r="I29" i="1"/>
  <c r="I35" i="1"/>
  <c r="H35" i="1"/>
  <c r="H39" i="1"/>
  <c r="I39" i="1"/>
  <c r="G28" i="1"/>
  <c r="G442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3" i="1"/>
  <c r="G272" i="1"/>
  <c r="G271" i="1"/>
  <c r="G270" i="1"/>
  <c r="G269" i="1"/>
  <c r="G268" i="1"/>
  <c r="G267" i="1"/>
  <c r="G266" i="1"/>
  <c r="G265" i="1"/>
  <c r="G264" i="1"/>
  <c r="G262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4" i="1"/>
  <c r="G103" i="1"/>
  <c r="G102" i="1"/>
  <c r="G101" i="1"/>
  <c r="G100" i="1"/>
  <c r="G99" i="1"/>
  <c r="G98" i="1"/>
  <c r="G97" i="1"/>
  <c r="G96" i="1"/>
  <c r="G95" i="1"/>
  <c r="G94" i="1"/>
  <c r="G93" i="1"/>
  <c r="G91" i="1"/>
  <c r="G90" i="1"/>
  <c r="G89" i="1"/>
  <c r="G88" i="1"/>
  <c r="G87" i="1"/>
  <c r="G86" i="1"/>
  <c r="G85" i="1"/>
  <c r="G84" i="1"/>
  <c r="G83" i="1"/>
  <c r="G82" i="1"/>
  <c r="G81" i="1"/>
  <c r="G80" i="1"/>
  <c r="G29" i="1"/>
  <c r="G78" i="1"/>
  <c r="G77" i="1"/>
  <c r="G76" i="1"/>
  <c r="G75" i="1"/>
  <c r="G74" i="1"/>
  <c r="G73" i="1"/>
  <c r="G72" i="1"/>
  <c r="G71" i="1"/>
  <c r="G70" i="1"/>
  <c r="G69" i="1"/>
  <c r="G68" i="1"/>
  <c r="G67" i="1"/>
  <c r="G65" i="1"/>
  <c r="G64" i="1"/>
  <c r="G63" i="1"/>
  <c r="G62" i="1"/>
  <c r="G61" i="1"/>
  <c r="G60" i="1"/>
  <c r="G59" i="1"/>
  <c r="G58" i="1"/>
  <c r="G57" i="1"/>
  <c r="G56" i="1"/>
  <c r="G55" i="1"/>
  <c r="G54" i="1"/>
  <c r="G31" i="1"/>
  <c r="G45" i="1"/>
  <c r="G44" i="1"/>
  <c r="G43" i="1"/>
  <c r="G42" i="1"/>
  <c r="G30" i="1"/>
  <c r="G41" i="1"/>
  <c r="G52" i="1"/>
  <c r="G51" i="1"/>
  <c r="G50" i="1"/>
  <c r="G49" i="1"/>
  <c r="G48" i="1"/>
  <c r="G47" i="1"/>
  <c r="G46" i="1"/>
  <c r="G39" i="1"/>
  <c r="G38" i="1"/>
  <c r="G37" i="1"/>
  <c r="G36" i="1"/>
  <c r="G35" i="1"/>
  <c r="G34" i="1"/>
  <c r="G33" i="1"/>
  <c r="G32" i="1"/>
  <c r="F22" i="4"/>
  <c r="F81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4" i="4"/>
  <c r="F103" i="4"/>
  <c r="F102" i="4"/>
  <c r="F101" i="4"/>
  <c r="F100" i="4"/>
  <c r="F99" i="4"/>
  <c r="F98" i="4"/>
  <c r="F97" i="4"/>
  <c r="F96" i="4"/>
  <c r="F95" i="4"/>
  <c r="F94" i="4"/>
  <c r="F93" i="4"/>
  <c r="F91" i="4"/>
  <c r="F83" i="4"/>
  <c r="F84" i="4"/>
  <c r="F86" i="4"/>
  <c r="F87" i="4"/>
  <c r="F88" i="4"/>
  <c r="F89" i="4"/>
  <c r="F90" i="4"/>
  <c r="F82" i="4"/>
  <c r="F18" i="4"/>
  <c r="F182" i="1"/>
  <c r="F181" i="1"/>
  <c r="F180" i="1"/>
  <c r="F179" i="1"/>
  <c r="F178" i="1"/>
  <c r="F177" i="1"/>
  <c r="F176" i="1"/>
  <c r="F175" i="1"/>
  <c r="F174" i="1"/>
  <c r="F173" i="1"/>
  <c r="F172" i="1"/>
  <c r="F171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4" i="1"/>
  <c r="F103" i="1"/>
  <c r="F102" i="1"/>
  <c r="F101" i="1"/>
  <c r="F100" i="1"/>
  <c r="F99" i="1"/>
  <c r="F98" i="1"/>
  <c r="F97" i="1"/>
  <c r="F96" i="1"/>
  <c r="F95" i="1"/>
  <c r="F94" i="1"/>
  <c r="F93" i="1"/>
  <c r="F91" i="1"/>
  <c r="F90" i="1"/>
  <c r="F89" i="1"/>
  <c r="F88" i="1"/>
  <c r="F87" i="1"/>
  <c r="F86" i="1"/>
  <c r="F85" i="1"/>
  <c r="F84" i="1"/>
  <c r="F83" i="1"/>
  <c r="F82" i="1"/>
  <c r="F81" i="1"/>
  <c r="F80" i="1"/>
  <c r="F78" i="1"/>
  <c r="F77" i="1"/>
  <c r="F76" i="1"/>
  <c r="F75" i="1"/>
  <c r="F74" i="1"/>
  <c r="F73" i="1"/>
  <c r="F72" i="1"/>
  <c r="F71" i="1"/>
  <c r="F70" i="1"/>
  <c r="F69" i="1"/>
  <c r="F68" i="1"/>
  <c r="F67" i="1"/>
  <c r="F55" i="1"/>
  <c r="F60" i="1"/>
  <c r="F61" i="1"/>
  <c r="F62" i="1"/>
  <c r="F63" i="1"/>
  <c r="F64" i="1"/>
  <c r="F65" i="1"/>
  <c r="F58" i="1"/>
  <c r="F59" i="1"/>
  <c r="F57" i="1"/>
  <c r="F56" i="1"/>
  <c r="F24" i="1"/>
  <c r="F15" i="1"/>
  <c r="E54" i="1" l="1"/>
  <c r="E60" i="1"/>
  <c r="E81" i="4"/>
  <c r="E155" i="4"/>
  <c r="E83" i="4"/>
  <c r="E90" i="4"/>
  <c r="E88" i="4"/>
  <c r="E85" i="4"/>
  <c r="E86" i="4"/>
  <c r="E94" i="4"/>
  <c r="E96" i="4"/>
  <c r="E98" i="4"/>
  <c r="E100" i="4"/>
  <c r="E102" i="4"/>
  <c r="E104" i="4"/>
  <c r="E107" i="4"/>
  <c r="E109" i="4"/>
  <c r="E111" i="4"/>
  <c r="E113" i="4"/>
  <c r="E115" i="4"/>
  <c r="E117" i="4"/>
  <c r="E120" i="4"/>
  <c r="E122" i="4"/>
  <c r="E124" i="4"/>
  <c r="E126" i="4"/>
  <c r="E128" i="4"/>
  <c r="E130" i="4"/>
  <c r="E133" i="4"/>
  <c r="E135" i="4"/>
  <c r="E137" i="4"/>
  <c r="E139" i="4"/>
  <c r="E141" i="4"/>
  <c r="E143" i="4"/>
  <c r="E146" i="4"/>
  <c r="E148" i="4"/>
  <c r="E150" i="4"/>
  <c r="E152" i="4"/>
  <c r="E154" i="4"/>
  <c r="E156" i="4"/>
  <c r="E80" i="4"/>
  <c r="E82" i="4"/>
  <c r="E91" i="4"/>
  <c r="E89" i="4"/>
  <c r="E87" i="4"/>
  <c r="E84" i="4"/>
  <c r="E93" i="4"/>
  <c r="E95" i="4"/>
  <c r="E97" i="4"/>
  <c r="E99" i="4"/>
  <c r="E101" i="4"/>
  <c r="E103" i="4"/>
  <c r="E106" i="4"/>
  <c r="E108" i="4"/>
  <c r="E110" i="4"/>
  <c r="E112" i="4"/>
  <c r="E114" i="4"/>
  <c r="E116" i="4"/>
  <c r="E119" i="4"/>
  <c r="E121" i="4"/>
  <c r="E123" i="4"/>
  <c r="E125" i="4"/>
  <c r="E127" i="4"/>
  <c r="E129" i="4"/>
  <c r="E132" i="4"/>
  <c r="E134" i="4"/>
  <c r="E136" i="4"/>
  <c r="E138" i="4"/>
  <c r="E140" i="4"/>
  <c r="E142" i="4"/>
  <c r="E145" i="4"/>
  <c r="E147" i="4"/>
  <c r="E149" i="4"/>
  <c r="E151" i="4"/>
  <c r="E153" i="4"/>
  <c r="E56" i="1"/>
  <c r="E67" i="1"/>
  <c r="E69" i="1"/>
  <c r="E71" i="1"/>
  <c r="E73" i="1"/>
  <c r="E75" i="1"/>
  <c r="E77" i="1"/>
  <c r="E81" i="1"/>
  <c r="E83" i="1"/>
  <c r="E85" i="1"/>
  <c r="E87" i="1"/>
  <c r="E89" i="1"/>
  <c r="E91" i="1"/>
  <c r="E94" i="1"/>
  <c r="E96" i="1"/>
  <c r="E98" i="1"/>
  <c r="E100" i="1"/>
  <c r="E102" i="1"/>
  <c r="E104" i="1"/>
  <c r="E106" i="1"/>
  <c r="E108" i="1"/>
  <c r="E110" i="1"/>
  <c r="E112" i="1"/>
  <c r="E114" i="1"/>
  <c r="E116" i="1"/>
  <c r="E119" i="1"/>
  <c r="E121" i="1"/>
  <c r="E123" i="1"/>
  <c r="E125" i="1"/>
  <c r="E127" i="1"/>
  <c r="E129" i="1"/>
  <c r="E132" i="1"/>
  <c r="E134" i="1"/>
  <c r="E136" i="1"/>
  <c r="E138" i="1"/>
  <c r="E140" i="1"/>
  <c r="E142" i="1"/>
  <c r="E145" i="1"/>
  <c r="E147" i="1"/>
  <c r="E149" i="1"/>
  <c r="E151" i="1"/>
  <c r="E153" i="1"/>
  <c r="E155" i="1"/>
  <c r="E158" i="1"/>
  <c r="E160" i="1"/>
  <c r="E162" i="1"/>
  <c r="E164" i="1"/>
  <c r="E166" i="1"/>
  <c r="E168" i="1"/>
  <c r="E171" i="1"/>
  <c r="E173" i="1"/>
  <c r="E175" i="1"/>
  <c r="E177" i="1"/>
  <c r="E179" i="1"/>
  <c r="E181" i="1"/>
  <c r="E65" i="1"/>
  <c r="E63" i="1"/>
  <c r="E61" i="1"/>
  <c r="E57" i="1"/>
  <c r="E55" i="1"/>
  <c r="E58" i="1"/>
  <c r="E68" i="1"/>
  <c r="E70" i="1"/>
  <c r="E72" i="1"/>
  <c r="E74" i="1"/>
  <c r="E76" i="1"/>
  <c r="E78" i="1"/>
  <c r="E82" i="1"/>
  <c r="E84" i="1"/>
  <c r="E86" i="1"/>
  <c r="E88" i="1"/>
  <c r="E90" i="1"/>
  <c r="E93" i="1"/>
  <c r="E95" i="1"/>
  <c r="E97" i="1"/>
  <c r="E99" i="1"/>
  <c r="E101" i="1"/>
  <c r="E103" i="1"/>
  <c r="E80" i="1"/>
  <c r="E107" i="1"/>
  <c r="E109" i="1"/>
  <c r="E111" i="1"/>
  <c r="E113" i="1"/>
  <c r="E115" i="1"/>
  <c r="E117" i="1"/>
  <c r="E120" i="1"/>
  <c r="E122" i="1"/>
  <c r="E124" i="1"/>
  <c r="E126" i="1"/>
  <c r="E128" i="1"/>
  <c r="E130" i="1"/>
  <c r="E133" i="1"/>
  <c r="E135" i="1"/>
  <c r="E137" i="1"/>
  <c r="E139" i="1"/>
  <c r="E141" i="1"/>
  <c r="E143" i="1"/>
  <c r="E146" i="1"/>
  <c r="E148" i="1"/>
  <c r="E150" i="1"/>
  <c r="E152" i="1"/>
  <c r="E154" i="1"/>
  <c r="E156" i="1"/>
  <c r="E159" i="1"/>
  <c r="E161" i="1"/>
  <c r="E163" i="1"/>
  <c r="E165" i="1"/>
  <c r="E167" i="1"/>
  <c r="E169" i="1"/>
  <c r="E172" i="1"/>
  <c r="E174" i="1"/>
  <c r="E176" i="1"/>
  <c r="E178" i="1"/>
  <c r="E180" i="1"/>
  <c r="E182" i="1"/>
  <c r="E59" i="1"/>
  <c r="E64" i="1"/>
  <c r="E62" i="1"/>
</calcChain>
</file>

<file path=xl/sharedStrings.xml><?xml version="1.0" encoding="utf-8"?>
<sst xmlns="http://schemas.openxmlformats.org/spreadsheetml/2006/main" count="2141" uniqueCount="99">
  <si>
    <t>Enero</t>
  </si>
  <si>
    <t>Febrero</t>
  </si>
  <si>
    <t>Marzo</t>
  </si>
  <si>
    <t>Abril</t>
  </si>
  <si>
    <t>Mayo</t>
  </si>
  <si>
    <t>Junio</t>
  </si>
  <si>
    <t>Julio</t>
  </si>
  <si>
    <t>Agos.</t>
  </si>
  <si>
    <t>Sept.</t>
  </si>
  <si>
    <t>Octubre</t>
  </si>
  <si>
    <t>Nov.</t>
  </si>
  <si>
    <t>Diciem.</t>
  </si>
  <si>
    <t>Año</t>
  </si>
  <si>
    <t>K (Calibrado)</t>
  </si>
  <si>
    <t>M (Calibrado)</t>
  </si>
  <si>
    <t>N (Calibrado)</t>
  </si>
  <si>
    <t>Características Geomorfológicas</t>
  </si>
  <si>
    <t>% Superficie</t>
  </si>
  <si>
    <t>Coeficiente m</t>
  </si>
  <si>
    <t>Exponente Ponderado</t>
  </si>
  <si>
    <t>Buena Cubierta vegetal, pendientes &lt; 25%</t>
  </si>
  <si>
    <t>Nevados, lagos y pantanos, páramos</t>
  </si>
  <si>
    <t>Terreno escarpado, pendiente &gt; 50%</t>
  </si>
  <si>
    <t>Topografía Ondulada</t>
  </si>
  <si>
    <t>Topografía Plana</t>
  </si>
  <si>
    <t>Coeficiente m ( Ponderado)</t>
  </si>
  <si>
    <t>Características de Regulación Natural</t>
  </si>
  <si>
    <t>Coeficiente n</t>
  </si>
  <si>
    <t>Región Nival</t>
  </si>
  <si>
    <t>Región Andina</t>
  </si>
  <si>
    <t>Región Subandina</t>
  </si>
  <si>
    <t>Montañas Altas</t>
  </si>
  <si>
    <t>Montañas Bajas</t>
  </si>
  <si>
    <t>Mesetas</t>
  </si>
  <si>
    <t>Coeficiente n (Ponderado)</t>
  </si>
  <si>
    <t>Area =</t>
  </si>
  <si>
    <t>Km2</t>
  </si>
  <si>
    <t>FORMULA POLINOMIO ECOLOGICO</t>
  </si>
  <si>
    <t>Q - Caudal medio mensual de la cuenca, (m3.s-1).</t>
  </si>
  <si>
    <t>A - Área de drenaje de la cuenca, Km2</t>
  </si>
  <si>
    <t>Pi - Precipitación media de la cuenca del mes actual, (mm).</t>
  </si>
  <si>
    <t>Pi-1 - Precipitación media de la cuenca del mes anterior, (mm).</t>
  </si>
  <si>
    <t>Pi-2 - Precipitación media de la cuenca del mes tras anterior, (mm).</t>
  </si>
  <si>
    <t>K - Relación entre la evapotranspiración y la precipitación.</t>
  </si>
  <si>
    <t>m,n - Coeficientes que dependen de las características</t>
  </si>
  <si>
    <t>geomorfológicas y de regulación natural de la cuenca”14.</t>
  </si>
  <si>
    <t>Evapotraspiracion c/mes</t>
  </si>
  <si>
    <t>k (ponderado)</t>
  </si>
  <si>
    <t>K (Ponerado)</t>
  </si>
  <si>
    <t>FORMULA DE GOMEZ</t>
  </si>
  <si>
    <t>Q (M. Gomez)</t>
  </si>
  <si>
    <t>Mes</t>
  </si>
  <si>
    <t>N</t>
  </si>
  <si>
    <t>Año Bisiesto (1976, 1980, 1984, 1988,1992, 1996, 2000, 2004)</t>
  </si>
  <si>
    <t>Precipitacion</t>
  </si>
  <si>
    <t>P - Precipitación media de la cuenca del mes actual, (mm).</t>
  </si>
  <si>
    <t>N - Numero de dias del mes a calcular</t>
  </si>
  <si>
    <t>Desviacion Estandar</t>
  </si>
  <si>
    <t>X=</t>
  </si>
  <si>
    <t>s=</t>
  </si>
  <si>
    <t>P 75</t>
  </si>
  <si>
    <t>a</t>
  </si>
  <si>
    <t>b</t>
  </si>
  <si>
    <t>P75=Pm-(0.74SD)</t>
  </si>
  <si>
    <t>a=10¯⁸(fc/I)^-7.2474</t>
  </si>
  <si>
    <t>b= -3.2951(I/S) +5.33</t>
  </si>
  <si>
    <t>S (Desv. Stan.)=</t>
  </si>
  <si>
    <t>S (Pendiente ) =</t>
  </si>
  <si>
    <t>Infiltracion =</t>
  </si>
  <si>
    <t>fc (Indice cobertura vegetal) =</t>
  </si>
  <si>
    <t>ao=</t>
  </si>
  <si>
    <t>Q = e^(a0-0.645846*ln(I)-9.53942*MAI*(I/S)+4.8904*MAI)</t>
  </si>
  <si>
    <t>e=</t>
  </si>
  <si>
    <t>*MAI *</t>
  </si>
  <si>
    <t>LAI=</t>
  </si>
  <si>
    <t>fc = 1- e(0.5LAI)</t>
  </si>
  <si>
    <t>Evapotraspiracion mm/mes</t>
  </si>
  <si>
    <t xml:space="preserve">1 dia </t>
  </si>
  <si>
    <t>L15</t>
  </si>
  <si>
    <t>NO EXISTEN DATOS DE CALIBRACION</t>
  </si>
  <si>
    <t>NO EXISTEN LOS DATOS DE PONDERACION</t>
  </si>
  <si>
    <t>MAI=P75/Eto</t>
  </si>
  <si>
    <t xml:space="preserve">Donde: </t>
  </si>
  <si>
    <t xml:space="preserve">• a0=4.7 entre los meses de enero a mayo </t>
  </si>
  <si>
    <t xml:space="preserve">• a0=3.9 para los meses de junio, noviembre y diciembre </t>
  </si>
  <si>
    <t xml:space="preserve">• a0=2.4 para los meses de julio y octubre </t>
  </si>
  <si>
    <t xml:space="preserve">• a0=1.1para los meses de agosto y septiembre </t>
  </si>
  <si>
    <t>Q (Prediccion)  Ch.</t>
  </si>
  <si>
    <t>Q (Autor)Pol.E.</t>
  </si>
  <si>
    <t>Q (ponderado)Pol.E.</t>
  </si>
  <si>
    <t>Q (Calibrado)Pol.E.</t>
  </si>
  <si>
    <t>Q (Prediccion) Vic.2</t>
  </si>
  <si>
    <t xml:space="preserve">  </t>
  </si>
  <si>
    <t xml:space="preserve">    </t>
  </si>
  <si>
    <t>DISTRIBUCION PEARSON TIPO III</t>
  </si>
  <si>
    <t>PROMEDIO</t>
  </si>
  <si>
    <t>(xi-Xi)^3</t>
  </si>
  <si>
    <t>Cs</t>
  </si>
  <si>
    <t>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</si>
</sst>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0"/>
    <numFmt numFmtId="166" formatCode="#.##0."/>
    <numFmt numFmtId="167" formatCode="0.00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4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/>
    <xf numFmtId="2" fontId="0" fillId="0" borderId="0" xfId="0" applyNumberFormat="1" applyBorder="1" applyAlignment="1">
      <alignment horizontal="center"/>
    </xf>
    <xf numFmtId="2" fontId="0" fillId="0" borderId="1" xfId="0" applyNumberFormat="1" applyBorder="1"/>
    <xf numFmtId="2" fontId="0" fillId="0" borderId="0" xfId="0" applyNumberFormat="1" applyAlignment="1">
      <alignment horizontal="center"/>
    </xf>
    <xf numFmtId="0" fontId="0" fillId="0" borderId="1" xfId="0" applyNumberFormat="1" applyBorder="1"/>
    <xf numFmtId="0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 applyNumberFormat="1" applyBorder="1"/>
    <xf numFmtId="2" fontId="0" fillId="0" borderId="0" xfId="0" applyNumberFormat="1" applyAlignment="1">
      <alignment horizontal="center"/>
    </xf>
    <xf numFmtId="0" fontId="2" fillId="0" borderId="0" xfId="0" applyFont="1"/>
    <xf numFmtId="164" fontId="0" fillId="0" borderId="0" xfId="0" applyNumberFormat="1"/>
    <xf numFmtId="2" fontId="1" fillId="2" borderId="0" xfId="0" applyNumberFormat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" fontId="1" fillId="2" borderId="0" xfId="0" applyNumberFormat="1" applyFont="1" applyFill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2" fontId="0" fillId="2" borderId="0" xfId="0" applyNumberForma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1" fontId="3" fillId="0" borderId="0" xfId="0" applyNumberFormat="1" applyFont="1" applyFill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Alignment="1">
      <alignment horizontal="center"/>
    </xf>
    <xf numFmtId="2" fontId="0" fillId="0" borderId="0" xfId="0" applyNumberFormat="1" applyFill="1"/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NumberFormat="1" applyAlignment="1">
      <alignment horizontal="center" vertical="center"/>
    </xf>
    <xf numFmtId="3" fontId="0" fillId="0" borderId="0" xfId="0" applyNumberFormat="1" applyFont="1" applyFill="1" applyAlignment="1">
      <alignment horizontal="right" vertical="center"/>
    </xf>
    <xf numFmtId="0" fontId="0" fillId="0" borderId="0" xfId="0" applyNumberFormat="1" applyFont="1" applyFill="1" applyAlignment="1">
      <alignment horizontal="right" vertical="center"/>
    </xf>
    <xf numFmtId="0" fontId="4" fillId="0" borderId="0" xfId="0" applyFont="1"/>
    <xf numFmtId="2" fontId="0" fillId="0" borderId="0" xfId="0" applyNumberFormat="1" applyAlignment="1">
      <alignment horizontal="center"/>
    </xf>
    <xf numFmtId="165" fontId="0" fillId="0" borderId="0" xfId="0" applyNumberFormat="1" applyBorder="1" applyAlignment="1">
      <alignment horizontal="center"/>
    </xf>
    <xf numFmtId="2" fontId="0" fillId="0" borderId="0" xfId="0" applyNumberFormat="1" applyBorder="1"/>
    <xf numFmtId="1" fontId="0" fillId="3" borderId="0" xfId="0" applyNumberFormat="1" applyFill="1" applyAlignment="1">
      <alignment horizontal="center" vertical="center"/>
    </xf>
    <xf numFmtId="2" fontId="0" fillId="5" borderId="0" xfId="0" applyNumberFormat="1" applyFill="1" applyAlignment="1">
      <alignment horizontal="center"/>
    </xf>
    <xf numFmtId="0" fontId="4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2" fontId="1" fillId="5" borderId="0" xfId="0" applyNumberFormat="1" applyFont="1" applyFill="1" applyAlignment="1">
      <alignment horizontal="center"/>
    </xf>
    <xf numFmtId="164" fontId="0" fillId="0" borderId="0" xfId="0" applyNumberFormat="1" applyBorder="1" applyAlignment="1"/>
    <xf numFmtId="0" fontId="4" fillId="0" borderId="0" xfId="0" applyNumberFormat="1" applyFont="1"/>
    <xf numFmtId="2" fontId="0" fillId="0" borderId="0" xfId="0" applyNumberFormat="1" applyAlignment="1">
      <alignment vertical="center" wrapText="1"/>
    </xf>
    <xf numFmtId="1" fontId="0" fillId="6" borderId="0" xfId="0" applyNumberFormat="1" applyFill="1" applyAlignment="1">
      <alignment horizontal="center" vertical="center"/>
    </xf>
    <xf numFmtId="2" fontId="1" fillId="6" borderId="0" xfId="0" applyNumberFormat="1" applyFon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0" fontId="0" fillId="7" borderId="0" xfId="0" applyNumberFormat="1" applyFill="1" applyAlignment="1">
      <alignment horizontal="center"/>
    </xf>
    <xf numFmtId="0" fontId="0" fillId="8" borderId="1" xfId="0" applyNumberFormat="1" applyFill="1" applyBorder="1" applyAlignment="1">
      <alignment horizontal="center"/>
    </xf>
    <xf numFmtId="0" fontId="0" fillId="8" borderId="1" xfId="0" applyNumberFormat="1" applyFill="1" applyBorder="1" applyAlignment="1">
      <alignment horizontal="center" wrapText="1"/>
    </xf>
    <xf numFmtId="0" fontId="0" fillId="0" borderId="0" xfId="0" applyNumberFormat="1" applyAlignment="1"/>
    <xf numFmtId="2" fontId="0" fillId="0" borderId="0" xfId="0" applyNumberFormat="1" applyAlignment="1"/>
    <xf numFmtId="0" fontId="4" fillId="0" borderId="0" xfId="0" applyFont="1" applyAlignment="1"/>
    <xf numFmtId="0" fontId="0" fillId="0" borderId="0" xfId="0" applyNumberFormat="1" applyFill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0" borderId="0" xfId="0" applyNumberFormat="1" applyFill="1"/>
    <xf numFmtId="0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 wrapText="1"/>
    </xf>
    <xf numFmtId="0" fontId="4" fillId="0" borderId="0" xfId="0" applyNumberFormat="1" applyFont="1" applyFill="1" applyBorder="1"/>
    <xf numFmtId="0" fontId="0" fillId="0" borderId="0" xfId="0" applyNumberFormat="1" applyFill="1" applyBorder="1"/>
    <xf numFmtId="2" fontId="0" fillId="0" borderId="0" xfId="0" applyNumberFormat="1" applyAlignment="1">
      <alignment horizontal="right"/>
    </xf>
    <xf numFmtId="0" fontId="0" fillId="0" borderId="0" xfId="0" applyFill="1"/>
    <xf numFmtId="2" fontId="0" fillId="0" borderId="1" xfId="0" applyNumberForma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2" fontId="0" fillId="0" borderId="1" xfId="0" applyNumberFormat="1" applyFill="1" applyBorder="1"/>
    <xf numFmtId="0" fontId="0" fillId="0" borderId="1" xfId="0" applyNumberFormat="1" applyFill="1" applyBorder="1"/>
    <xf numFmtId="1" fontId="0" fillId="0" borderId="0" xfId="0" applyNumberFormat="1" applyFill="1" applyAlignment="1">
      <alignment horizontal="center" vertical="center"/>
    </xf>
    <xf numFmtId="3" fontId="0" fillId="0" borderId="0" xfId="0" applyNumberFormat="1" applyFill="1"/>
    <xf numFmtId="0" fontId="0" fillId="0" borderId="0" xfId="0" applyNumberFormat="1" applyFill="1" applyAlignment="1">
      <alignment horizontal="center" vertical="center"/>
    </xf>
    <xf numFmtId="166" fontId="0" fillId="0" borderId="0" xfId="0" applyNumberFormat="1" applyFill="1" applyAlignment="1">
      <alignment horizontal="center" vertical="center"/>
    </xf>
    <xf numFmtId="164" fontId="0" fillId="0" borderId="0" xfId="0" applyNumberFormat="1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2" fontId="0" fillId="0" borderId="0" xfId="0" applyNumberFormat="1" applyFill="1" applyAlignment="1">
      <alignment horizontal="center" vertical="center"/>
    </xf>
    <xf numFmtId="1" fontId="1" fillId="4" borderId="0" xfId="0" applyNumberFormat="1" applyFont="1" applyFill="1" applyAlignment="1">
      <alignment horizontal="center" vertical="center"/>
    </xf>
    <xf numFmtId="2" fontId="1" fillId="3" borderId="0" xfId="0" applyNumberFormat="1" applyFont="1" applyFill="1" applyAlignment="1">
      <alignment vertical="center"/>
    </xf>
    <xf numFmtId="2" fontId="1" fillId="9" borderId="0" xfId="0" applyNumberFormat="1" applyFont="1" applyFill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7" fontId="0" fillId="2" borderId="1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1" fillId="0" borderId="0" xfId="0" applyNumberFormat="1" applyFont="1" applyFill="1" applyAlignment="1">
      <alignment horizontal="center" vertical="center" wrapText="1"/>
    </xf>
    <xf numFmtId="164" fontId="0" fillId="0" borderId="0" xfId="0" applyNumberFormat="1" applyBorder="1" applyAlignment="1">
      <alignment horizontal="left"/>
    </xf>
    <xf numFmtId="2" fontId="0" fillId="0" borderId="0" xfId="0" applyNumberFormat="1" applyAlignment="1">
      <alignment horizontal="center" vertical="center" wrapText="1"/>
    </xf>
    <xf numFmtId="2" fontId="0" fillId="0" borderId="1" xfId="0" applyNumberFormat="1" applyBorder="1" applyAlignment="1">
      <alignment vertical="center" wrapText="1"/>
    </xf>
    <xf numFmtId="165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2" fontId="0" fillId="0" borderId="2" xfId="0" applyNumberFormat="1" applyBorder="1" applyAlignment="1">
      <alignment vertical="center" wrapText="1"/>
    </xf>
    <xf numFmtId="2" fontId="0" fillId="0" borderId="5" xfId="0" applyNumberFormat="1" applyBorder="1" applyAlignment="1">
      <alignment vertical="center" wrapText="1"/>
    </xf>
    <xf numFmtId="2" fontId="0" fillId="0" borderId="3" xfId="0" applyNumberFormat="1" applyBorder="1" applyAlignment="1">
      <alignment vertical="center" wrapText="1"/>
    </xf>
    <xf numFmtId="167" fontId="0" fillId="0" borderId="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US" sz="1800" b="1" i="0" baseline="0">
                <a:effectLst/>
              </a:rPr>
              <a:t>Año 1985</a:t>
            </a:r>
            <a:endParaRPr lang="es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'Cuenca Rio Guayllabamba'!$D$26</c:f>
              <c:strCache>
                <c:ptCount val="1"/>
                <c:pt idx="0">
                  <c:v>Q (Autor)Pol.E.</c:v>
                </c:pt>
              </c:strCache>
            </c:strRef>
          </c:tx>
          <c:marker>
            <c:symbol val="none"/>
          </c:marker>
          <c:cat>
            <c:strRef>
              <c:f>'Cuenca Rio Guayllabamba'!$A$28:$A$39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Agos.</c:v>
                </c:pt>
                <c:pt idx="8">
                  <c:v>Sept.</c:v>
                </c:pt>
                <c:pt idx="9">
                  <c:v>Octubre</c:v>
                </c:pt>
                <c:pt idx="10">
                  <c:v>Nov.</c:v>
                </c:pt>
                <c:pt idx="11">
                  <c:v>Diciem.</c:v>
                </c:pt>
              </c:strCache>
            </c:strRef>
          </c:cat>
          <c:val>
            <c:numRef>
              <c:f>'Cuenca Rio Guayllabamba'!$D$145:$D$156</c:f>
              <c:numCache>
                <c:formatCode>0.00</c:formatCode>
                <c:ptCount val="12"/>
                <c:pt idx="0">
                  <c:v>3.8959999999999999</c:v>
                </c:pt>
                <c:pt idx="1">
                  <c:v>3.4420000000000002</c:v>
                </c:pt>
                <c:pt idx="2">
                  <c:v>4.2809999999999997</c:v>
                </c:pt>
                <c:pt idx="3">
                  <c:v>6.9160000000000004</c:v>
                </c:pt>
                <c:pt idx="4">
                  <c:v>7.0220000000000002</c:v>
                </c:pt>
                <c:pt idx="5">
                  <c:v>3.6640000000000001</c:v>
                </c:pt>
                <c:pt idx="6">
                  <c:v>1.742</c:v>
                </c:pt>
                <c:pt idx="7">
                  <c:v>3.012</c:v>
                </c:pt>
                <c:pt idx="8">
                  <c:v>5.4080000000000004</c:v>
                </c:pt>
                <c:pt idx="9">
                  <c:v>3.843</c:v>
                </c:pt>
                <c:pt idx="10">
                  <c:v>3.911</c:v>
                </c:pt>
                <c:pt idx="11">
                  <c:v>5.1829999999999998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'Cuenca Rio Guayllabamba'!$E$26</c:f>
              <c:strCache>
                <c:ptCount val="1"/>
                <c:pt idx="0">
                  <c:v>Q (ponderado)Pol.E.</c:v>
                </c:pt>
              </c:strCache>
            </c:strRef>
          </c:tx>
          <c:marker>
            <c:symbol val="none"/>
          </c:marker>
          <c:cat>
            <c:strRef>
              <c:f>'Cuenca Rio Guayllabamba'!$A$28:$A$39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Agos.</c:v>
                </c:pt>
                <c:pt idx="8">
                  <c:v>Sept.</c:v>
                </c:pt>
                <c:pt idx="9">
                  <c:v>Octubre</c:v>
                </c:pt>
                <c:pt idx="10">
                  <c:v>Nov.</c:v>
                </c:pt>
                <c:pt idx="11">
                  <c:v>Diciem.</c:v>
                </c:pt>
              </c:strCache>
            </c:strRef>
          </c:cat>
          <c:val>
            <c:numRef>
              <c:f>'Cuenca Rio Guayllabamba'!$E$145:$E$156</c:f>
              <c:numCache>
                <c:formatCode>0.00</c:formatCode>
                <c:ptCount val="12"/>
                <c:pt idx="0">
                  <c:v>3.8914481970253099</c:v>
                </c:pt>
                <c:pt idx="1">
                  <c:v>3.4377994480292084</c:v>
                </c:pt>
                <c:pt idx="2">
                  <c:v>4.275758680622654</c:v>
                </c:pt>
                <c:pt idx="3">
                  <c:v>6.9073642363582204</c:v>
                </c:pt>
                <c:pt idx="4">
                  <c:v>7.0136384585143583</c:v>
                </c:pt>
                <c:pt idx="5">
                  <c:v>3.6596932864400626</c:v>
                </c:pt>
                <c:pt idx="6">
                  <c:v>1.7396421566954448</c:v>
                </c:pt>
                <c:pt idx="7">
                  <c:v>3.0086143986049003</c:v>
                </c:pt>
                <c:pt idx="8">
                  <c:v>5.401657886962159</c:v>
                </c:pt>
                <c:pt idx="9">
                  <c:v>3.8382339509458294</c:v>
                </c:pt>
                <c:pt idx="10">
                  <c:v>3.9059444277778623</c:v>
                </c:pt>
                <c:pt idx="11">
                  <c:v>5.1770493814958147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'Cuenca Rio Guayllabamba'!$F$26</c:f>
              <c:strCache>
                <c:ptCount val="1"/>
                <c:pt idx="0">
                  <c:v>Q (Calibrado)Pol.E.</c:v>
                </c:pt>
              </c:strCache>
            </c:strRef>
          </c:tx>
          <c:marker>
            <c:symbol val="none"/>
          </c:marker>
          <c:cat>
            <c:strRef>
              <c:f>'Cuenca Rio Guayllabamba'!$A$28:$A$39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Agos.</c:v>
                </c:pt>
                <c:pt idx="8">
                  <c:v>Sept.</c:v>
                </c:pt>
                <c:pt idx="9">
                  <c:v>Octubre</c:v>
                </c:pt>
                <c:pt idx="10">
                  <c:v>Nov.</c:v>
                </c:pt>
                <c:pt idx="11">
                  <c:v>Diciem.</c:v>
                </c:pt>
              </c:strCache>
            </c:strRef>
          </c:cat>
          <c:val>
            <c:numRef>
              <c:f>'Cuenca Rio Guayllabamba'!$F$145:$F$156</c:f>
              <c:numCache>
                <c:formatCode>0.00</c:formatCode>
                <c:ptCount val="12"/>
                <c:pt idx="0">
                  <c:v>27.741234347684934</c:v>
                </c:pt>
                <c:pt idx="1">
                  <c:v>29.940708223669699</c:v>
                </c:pt>
                <c:pt idx="2">
                  <c:v>33.406756793506801</c:v>
                </c:pt>
                <c:pt idx="3">
                  <c:v>36.520364580225021</c:v>
                </c:pt>
                <c:pt idx="4">
                  <c:v>46.139881821399115</c:v>
                </c:pt>
                <c:pt idx="5">
                  <c:v>38.293392678119559</c:v>
                </c:pt>
                <c:pt idx="6">
                  <c:v>37.5001148364125</c:v>
                </c:pt>
                <c:pt idx="7">
                  <c:v>34.892198905651028</c:v>
                </c:pt>
                <c:pt idx="8">
                  <c:v>33.150640420303667</c:v>
                </c:pt>
                <c:pt idx="9">
                  <c:v>30.23257304172656</c:v>
                </c:pt>
                <c:pt idx="10">
                  <c:v>25.419209288044218</c:v>
                </c:pt>
                <c:pt idx="11">
                  <c:v>28.574706597522241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'Cuenca Rio Guayllabamba'!$G$26</c:f>
              <c:strCache>
                <c:ptCount val="1"/>
                <c:pt idx="0">
                  <c:v>Q (M. Gomez)</c:v>
                </c:pt>
              </c:strCache>
            </c:strRef>
          </c:tx>
          <c:marker>
            <c:symbol val="none"/>
          </c:marker>
          <c:cat>
            <c:strRef>
              <c:f>'Cuenca Rio Guayllabamba'!$A$28:$A$39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Agos.</c:v>
                </c:pt>
                <c:pt idx="8">
                  <c:v>Sept.</c:v>
                </c:pt>
                <c:pt idx="9">
                  <c:v>Octubre</c:v>
                </c:pt>
                <c:pt idx="10">
                  <c:v>Nov.</c:v>
                </c:pt>
                <c:pt idx="11">
                  <c:v>Diciem.</c:v>
                </c:pt>
              </c:strCache>
            </c:strRef>
          </c:cat>
          <c:val>
            <c:numRef>
              <c:f>'Cuenca Rio Guayllabamba'!$G$145:$G$156</c:f>
              <c:numCache>
                <c:formatCode>0.00</c:formatCode>
                <c:ptCount val="12"/>
                <c:pt idx="0">
                  <c:v>72.059787543522916</c:v>
                </c:pt>
                <c:pt idx="1">
                  <c:v>60.240263482003812</c:v>
                </c:pt>
                <c:pt idx="2">
                  <c:v>73.357610701584747</c:v>
                </c:pt>
                <c:pt idx="3">
                  <c:v>118.44730006223642</c:v>
                </c:pt>
                <c:pt idx="4">
                  <c:v>103.52951352301768</c:v>
                </c:pt>
                <c:pt idx="5">
                  <c:v>47.856054111940502</c:v>
                </c:pt>
                <c:pt idx="6">
                  <c:v>29.504028097761339</c:v>
                </c:pt>
                <c:pt idx="7">
                  <c:v>58.787062669812144</c:v>
                </c:pt>
                <c:pt idx="8">
                  <c:v>94.077232786004544</c:v>
                </c:pt>
                <c:pt idx="9">
                  <c:v>54.762541702609823</c:v>
                </c:pt>
                <c:pt idx="10">
                  <c:v>70.020923977473245</c:v>
                </c:pt>
                <c:pt idx="11">
                  <c:v>86.715405877131829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'Cuenca Rio Guayllabamba'!$I$26</c:f>
              <c:strCache>
                <c:ptCount val="1"/>
                <c:pt idx="0">
                  <c:v>Q (Prediccion) Vic.2</c:v>
                </c:pt>
              </c:strCache>
            </c:strRef>
          </c:tx>
          <c:marker>
            <c:symbol val="none"/>
          </c:marker>
          <c:cat>
            <c:strRef>
              <c:f>'Cuenca Rio Guayllabamba'!$A$28:$A$39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Agos.</c:v>
                </c:pt>
                <c:pt idx="8">
                  <c:v>Sept.</c:v>
                </c:pt>
                <c:pt idx="9">
                  <c:v>Octubre</c:v>
                </c:pt>
                <c:pt idx="10">
                  <c:v>Nov.</c:v>
                </c:pt>
                <c:pt idx="11">
                  <c:v>Diciem.</c:v>
                </c:pt>
              </c:strCache>
            </c:strRef>
          </c:cat>
          <c:val>
            <c:numRef>
              <c:f>'Cuenca Rio Guayllabamba'!$I$145:$I$156</c:f>
              <c:numCache>
                <c:formatCode>General</c:formatCode>
                <c:ptCount val="12"/>
                <c:pt idx="0">
                  <c:v>0.70126169837711894</c:v>
                </c:pt>
                <c:pt idx="1">
                  <c:v>1.2192533099990597</c:v>
                </c:pt>
                <c:pt idx="2">
                  <c:v>0.53506053156268019</c:v>
                </c:pt>
                <c:pt idx="3">
                  <c:v>0.11263562696999911</c:v>
                </c:pt>
                <c:pt idx="4">
                  <c:v>0.18496503160704289</c:v>
                </c:pt>
                <c:pt idx="5">
                  <c:v>1.5645060250657974</c:v>
                </c:pt>
                <c:pt idx="6">
                  <c:v>2.434094794703531</c:v>
                </c:pt>
                <c:pt idx="7">
                  <c:v>1.0279303485664406</c:v>
                </c:pt>
                <c:pt idx="8">
                  <c:v>0.24559518110430606</c:v>
                </c:pt>
                <c:pt idx="9">
                  <c:v>1.1971520356315042</c:v>
                </c:pt>
                <c:pt idx="10">
                  <c:v>0.75718858014306967</c:v>
                </c:pt>
                <c:pt idx="11">
                  <c:v>0.38140641346279841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122256"/>
        <c:axId val="874125520"/>
      </c:lineChart>
      <c:lineChart>
        <c:grouping val="standard"/>
        <c:varyColors val="0"/>
        <c:ser>
          <c:idx val="6"/>
          <c:order val="4"/>
          <c:tx>
            <c:strRef>
              <c:f>'Cuenca Rio Guayllabamba'!$H$26</c:f>
              <c:strCache>
                <c:ptCount val="1"/>
                <c:pt idx="0">
                  <c:v>Q (Prediccion)  Ch.</c:v>
                </c:pt>
              </c:strCache>
            </c:strRef>
          </c:tx>
          <c:marker>
            <c:symbol val="none"/>
          </c:marker>
          <c:cat>
            <c:strRef>
              <c:f>'Cuenca Rio Guayllabamba'!$A$28:$A$39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Agos.</c:v>
                </c:pt>
                <c:pt idx="8">
                  <c:v>Sept.</c:v>
                </c:pt>
                <c:pt idx="9">
                  <c:v>Octubre</c:v>
                </c:pt>
                <c:pt idx="10">
                  <c:v>Nov.</c:v>
                </c:pt>
                <c:pt idx="11">
                  <c:v>Diciem.</c:v>
                </c:pt>
              </c:strCache>
            </c:strRef>
          </c:cat>
          <c:val>
            <c:numRef>
              <c:f>'Cuenca Rio Guayllabamba'!$H$145:$H$156</c:f>
              <c:numCache>
                <c:formatCode>0.00</c:formatCode>
                <c:ptCount val="12"/>
                <c:pt idx="0">
                  <c:v>34.644045363732943</c:v>
                </c:pt>
                <c:pt idx="1">
                  <c:v>24.489357376704675</c:v>
                </c:pt>
                <c:pt idx="2">
                  <c:v>26.433300678902981</c:v>
                </c:pt>
                <c:pt idx="3">
                  <c:v>5.564475828854806</c:v>
                </c:pt>
                <c:pt idx="4">
                  <c:v>20.336382227711841</c:v>
                </c:pt>
                <c:pt idx="5">
                  <c:v>31.423943533008362</c:v>
                </c:pt>
                <c:pt idx="6">
                  <c:v>26.831456249218395</c:v>
                </c:pt>
                <c:pt idx="7">
                  <c:v>3.0880734281466879</c:v>
                </c:pt>
                <c:pt idx="8">
                  <c:v>0.73780869871852106</c:v>
                </c:pt>
                <c:pt idx="9">
                  <c:v>13.196418043210093</c:v>
                </c:pt>
                <c:pt idx="10">
                  <c:v>37.406970293806303</c:v>
                </c:pt>
                <c:pt idx="11">
                  <c:v>18.84241092961852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6211696"/>
        <c:axId val="986213328"/>
      </c:lineChart>
      <c:catAx>
        <c:axId val="8741222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874125520"/>
        <c:crosses val="autoZero"/>
        <c:auto val="1"/>
        <c:lblAlgn val="ctr"/>
        <c:lblOffset val="100"/>
        <c:noMultiLvlLbl val="0"/>
      </c:catAx>
      <c:valAx>
        <c:axId val="874125520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874122256"/>
        <c:crosses val="autoZero"/>
        <c:crossBetween val="between"/>
      </c:valAx>
      <c:valAx>
        <c:axId val="986213328"/>
        <c:scaling>
          <c:orientation val="minMax"/>
        </c:scaling>
        <c:delete val="1"/>
        <c:axPos val="r"/>
        <c:numFmt formatCode="0.00" sourceLinked="1"/>
        <c:majorTickMark val="out"/>
        <c:minorTickMark val="none"/>
        <c:tickLblPos val="nextTo"/>
        <c:crossAx val="986211696"/>
        <c:crosses val="max"/>
        <c:crossBetween val="between"/>
      </c:valAx>
      <c:catAx>
        <c:axId val="986211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621332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US"/>
              <a:t>Año 1984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'Cuenca Rio Guayllabamba'!$D$26</c:f>
              <c:strCache>
                <c:ptCount val="1"/>
                <c:pt idx="0">
                  <c:v>Q (Autor)Pol.E.</c:v>
                </c:pt>
              </c:strCache>
            </c:strRef>
          </c:tx>
          <c:marker>
            <c:symbol val="none"/>
          </c:marker>
          <c:cat>
            <c:strRef>
              <c:f>'Cuenca Rio Guayllabamba'!$A$28:$A$39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Agos.</c:v>
                </c:pt>
                <c:pt idx="8">
                  <c:v>Sept.</c:v>
                </c:pt>
                <c:pt idx="9">
                  <c:v>Octubre</c:v>
                </c:pt>
                <c:pt idx="10">
                  <c:v>Nov.</c:v>
                </c:pt>
                <c:pt idx="11">
                  <c:v>Diciem.</c:v>
                </c:pt>
              </c:strCache>
            </c:strRef>
          </c:cat>
          <c:val>
            <c:numRef>
              <c:f>'Cuenca Rio Guayllabamba'!$D$132:$D$143</c:f>
              <c:numCache>
                <c:formatCode>0.00</c:formatCode>
                <c:ptCount val="12"/>
                <c:pt idx="0">
                  <c:v>5.9290000000000003</c:v>
                </c:pt>
                <c:pt idx="1">
                  <c:v>8.7110000000000003</c:v>
                </c:pt>
                <c:pt idx="2">
                  <c:v>7.3339999999999996</c:v>
                </c:pt>
                <c:pt idx="3">
                  <c:v>8.6549999999999994</c:v>
                </c:pt>
                <c:pt idx="4">
                  <c:v>5.7450000000000001</c:v>
                </c:pt>
                <c:pt idx="5">
                  <c:v>3.1</c:v>
                </c:pt>
                <c:pt idx="6">
                  <c:v>1.819</c:v>
                </c:pt>
                <c:pt idx="7">
                  <c:v>1.9019999999999999</c:v>
                </c:pt>
                <c:pt idx="8">
                  <c:v>7.5880000000000001</c:v>
                </c:pt>
                <c:pt idx="9">
                  <c:v>7.4489999999999998</c:v>
                </c:pt>
                <c:pt idx="10">
                  <c:v>6.3369999999999997</c:v>
                </c:pt>
                <c:pt idx="11">
                  <c:v>3.1040000000000001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'Cuenca Rio Guayllabamba'!$E$26</c:f>
              <c:strCache>
                <c:ptCount val="1"/>
                <c:pt idx="0">
                  <c:v>Q (ponderado)Pol.E.</c:v>
                </c:pt>
              </c:strCache>
            </c:strRef>
          </c:tx>
          <c:marker>
            <c:symbol val="none"/>
          </c:marker>
          <c:cat>
            <c:strRef>
              <c:f>'Cuenca Rio Guayllabamba'!$A$28:$A$39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Agos.</c:v>
                </c:pt>
                <c:pt idx="8">
                  <c:v>Sept.</c:v>
                </c:pt>
                <c:pt idx="9">
                  <c:v>Octubre</c:v>
                </c:pt>
                <c:pt idx="10">
                  <c:v>Nov.</c:v>
                </c:pt>
                <c:pt idx="11">
                  <c:v>Diciem.</c:v>
                </c:pt>
              </c:strCache>
            </c:strRef>
          </c:cat>
          <c:val>
            <c:numRef>
              <c:f>'Cuenca Rio Guayllabamba'!$E$132:$E$143</c:f>
              <c:numCache>
                <c:formatCode>0.00</c:formatCode>
                <c:ptCount val="12"/>
                <c:pt idx="0">
                  <c:v>5.9221301493433698</c:v>
                </c:pt>
                <c:pt idx="1">
                  <c:v>8.7007529216847814</c:v>
                </c:pt>
                <c:pt idx="2">
                  <c:v>7.325037269318516</c:v>
                </c:pt>
                <c:pt idx="3">
                  <c:v>8.6451393821063345</c:v>
                </c:pt>
                <c:pt idx="4">
                  <c:v>5.7380320795959134</c:v>
                </c:pt>
                <c:pt idx="5">
                  <c:v>3.0957928575247049</c:v>
                </c:pt>
                <c:pt idx="6">
                  <c:v>1.8163598432046788</c:v>
                </c:pt>
                <c:pt idx="7">
                  <c:v>1.8997895484190759</c:v>
                </c:pt>
                <c:pt idx="8">
                  <c:v>7.5788646744873729</c:v>
                </c:pt>
                <c:pt idx="9">
                  <c:v>7.4396554859828186</c:v>
                </c:pt>
                <c:pt idx="10">
                  <c:v>6.3293572832616833</c:v>
                </c:pt>
                <c:pt idx="11">
                  <c:v>3.1003039938203427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'Cuenca Rio Guayllabamba'!$F$26</c:f>
              <c:strCache>
                <c:ptCount val="1"/>
                <c:pt idx="0">
                  <c:v>Q (Calibrado)Pol.E.</c:v>
                </c:pt>
              </c:strCache>
            </c:strRef>
          </c:tx>
          <c:marker>
            <c:symbol val="none"/>
          </c:marker>
          <c:cat>
            <c:strRef>
              <c:f>'Cuenca Rio Guayllabamba'!$A$28:$A$39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Agos.</c:v>
                </c:pt>
                <c:pt idx="8">
                  <c:v>Sept.</c:v>
                </c:pt>
                <c:pt idx="9">
                  <c:v>Octubre</c:v>
                </c:pt>
                <c:pt idx="10">
                  <c:v>Nov.</c:v>
                </c:pt>
                <c:pt idx="11">
                  <c:v>Diciem.</c:v>
                </c:pt>
              </c:strCache>
            </c:strRef>
          </c:cat>
          <c:val>
            <c:numRef>
              <c:f>'Cuenca Rio Guayllabamba'!$F$132:$F$143</c:f>
              <c:numCache>
                <c:formatCode>0.00</c:formatCode>
                <c:ptCount val="12"/>
                <c:pt idx="0">
                  <c:v>41.045489181354114</c:v>
                </c:pt>
                <c:pt idx="1">
                  <c:v>73.54063178220747</c:v>
                </c:pt>
                <c:pt idx="2">
                  <c:v>59.424129883854498</c:v>
                </c:pt>
                <c:pt idx="3">
                  <c:v>83.461506842856551</c:v>
                </c:pt>
                <c:pt idx="4">
                  <c:v>72.74247887747913</c:v>
                </c:pt>
                <c:pt idx="5">
                  <c:v>60.171476466189958</c:v>
                </c:pt>
                <c:pt idx="6">
                  <c:v>45.357726033719239</c:v>
                </c:pt>
                <c:pt idx="7">
                  <c:v>34.260392953336769</c:v>
                </c:pt>
                <c:pt idx="8">
                  <c:v>50.838495812762261</c:v>
                </c:pt>
                <c:pt idx="9">
                  <c:v>55.014370949924945</c:v>
                </c:pt>
                <c:pt idx="10">
                  <c:v>50.564144940640773</c:v>
                </c:pt>
                <c:pt idx="11">
                  <c:v>42.999562085550807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'Cuenca Rio Guayllabamba'!$G$26</c:f>
              <c:strCache>
                <c:ptCount val="1"/>
                <c:pt idx="0">
                  <c:v>Q (M. Gomez)</c:v>
                </c:pt>
              </c:strCache>
            </c:strRef>
          </c:tx>
          <c:marker>
            <c:symbol val="none"/>
          </c:marker>
          <c:cat>
            <c:strRef>
              <c:f>'Cuenca Rio Guayllabamba'!$A$28:$A$39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Agos.</c:v>
                </c:pt>
                <c:pt idx="8">
                  <c:v>Sept.</c:v>
                </c:pt>
                <c:pt idx="9">
                  <c:v>Octubre</c:v>
                </c:pt>
                <c:pt idx="10">
                  <c:v>Nov.</c:v>
                </c:pt>
                <c:pt idx="11">
                  <c:v>Diciem.</c:v>
                </c:pt>
              </c:strCache>
            </c:strRef>
          </c:cat>
          <c:val>
            <c:numRef>
              <c:f>'Cuenca Rio Guayllabamba'!$G$132:$G$143</c:f>
              <c:numCache>
                <c:formatCode>0.00</c:formatCode>
                <c:ptCount val="12"/>
                <c:pt idx="0">
                  <c:v>78.875404426532867</c:v>
                </c:pt>
                <c:pt idx="1">
                  <c:v>147.08708372476627</c:v>
                </c:pt>
                <c:pt idx="2">
                  <c:v>96.835590140961145</c:v>
                </c:pt>
                <c:pt idx="3">
                  <c:v>137.78446366475538</c:v>
                </c:pt>
                <c:pt idx="4">
                  <c:v>74.851859567797007</c:v>
                </c:pt>
                <c:pt idx="5">
                  <c:v>47.957910470469564</c:v>
                </c:pt>
                <c:pt idx="6">
                  <c:v>31.611165258957321</c:v>
                </c:pt>
                <c:pt idx="7">
                  <c:v>37.989698438398158</c:v>
                </c:pt>
                <c:pt idx="8">
                  <c:v>132.0301473861864</c:v>
                </c:pt>
                <c:pt idx="9">
                  <c:v>104.76521966396237</c:v>
                </c:pt>
                <c:pt idx="10">
                  <c:v>95.029778921939041</c:v>
                </c:pt>
                <c:pt idx="11">
                  <c:v>40.100023475110135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'Cuenca Rio Guayllabamba'!$I$26</c:f>
              <c:strCache>
                <c:ptCount val="1"/>
                <c:pt idx="0">
                  <c:v>Q (Prediccion) Vic.2</c:v>
                </c:pt>
              </c:strCache>
            </c:strRef>
          </c:tx>
          <c:marker>
            <c:symbol val="none"/>
          </c:marker>
          <c:cat>
            <c:strRef>
              <c:f>'Cuenca Rio Guayllabamba'!$A$28:$A$39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Agos.</c:v>
                </c:pt>
                <c:pt idx="8">
                  <c:v>Sept.</c:v>
                </c:pt>
                <c:pt idx="9">
                  <c:v>Octubre</c:v>
                </c:pt>
                <c:pt idx="10">
                  <c:v>Nov.</c:v>
                </c:pt>
                <c:pt idx="11">
                  <c:v>Diciem.</c:v>
                </c:pt>
              </c:strCache>
            </c:strRef>
          </c:cat>
          <c:val>
            <c:numRef>
              <c:f>'Cuenca Rio Guayllabamba'!$I$132:$I$143</c:f>
              <c:numCache>
                <c:formatCode>General</c:formatCode>
                <c:ptCount val="12"/>
                <c:pt idx="0">
                  <c:v>0.87050234703830776</c:v>
                </c:pt>
                <c:pt idx="1">
                  <c:v>3.7312029255246487E-2</c:v>
                </c:pt>
                <c:pt idx="2">
                  <c:v>0.29426963721973115</c:v>
                </c:pt>
                <c:pt idx="3">
                  <c:v>6.7410101630373864E-2</c:v>
                </c:pt>
                <c:pt idx="4">
                  <c:v>1.0063143036327906</c:v>
                </c:pt>
                <c:pt idx="5">
                  <c:v>2.6416279604445685</c:v>
                </c:pt>
                <c:pt idx="6">
                  <c:v>3.9727035321871886</c:v>
                </c:pt>
                <c:pt idx="7">
                  <c:v>3.4148113593375142</c:v>
                </c:pt>
                <c:pt idx="8">
                  <c:v>5.2424947307901683E-2</c:v>
                </c:pt>
                <c:pt idx="9">
                  <c:v>0.23248941810749121</c:v>
                </c:pt>
                <c:pt idx="10">
                  <c:v>0.45162836188287547</c:v>
                </c:pt>
                <c:pt idx="11">
                  <c:v>3.0024579288314746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6204080"/>
        <c:axId val="986212784"/>
      </c:lineChart>
      <c:lineChart>
        <c:grouping val="standard"/>
        <c:varyColors val="0"/>
        <c:ser>
          <c:idx val="6"/>
          <c:order val="4"/>
          <c:tx>
            <c:strRef>
              <c:f>'Cuenca Rio Guayllabamba'!$H$26</c:f>
              <c:strCache>
                <c:ptCount val="1"/>
                <c:pt idx="0">
                  <c:v>Q (Prediccion)  Ch.</c:v>
                </c:pt>
              </c:strCache>
            </c:strRef>
          </c:tx>
          <c:marker>
            <c:symbol val="none"/>
          </c:marker>
          <c:cat>
            <c:strRef>
              <c:f>'Cuenca Rio Guayllabamba'!$A$28:$A$39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Agos.</c:v>
                </c:pt>
                <c:pt idx="8">
                  <c:v>Sept.</c:v>
                </c:pt>
                <c:pt idx="9">
                  <c:v>Octubre</c:v>
                </c:pt>
                <c:pt idx="10">
                  <c:v>Nov.</c:v>
                </c:pt>
                <c:pt idx="11">
                  <c:v>Diciem.</c:v>
                </c:pt>
              </c:strCache>
            </c:strRef>
          </c:cat>
          <c:val>
            <c:numRef>
              <c:f>'Cuenca Rio Guayllabamba'!$H$132:$H$143</c:f>
              <c:numCache>
                <c:formatCode>0.00</c:formatCode>
                <c:ptCount val="12"/>
                <c:pt idx="0">
                  <c:v>95.709271669798284</c:v>
                </c:pt>
                <c:pt idx="1">
                  <c:v>4.10235211506523</c:v>
                </c:pt>
                <c:pt idx="2">
                  <c:v>32.354114550821315</c:v>
                </c:pt>
                <c:pt idx="3">
                  <c:v>7.4115500689698282</c:v>
                </c:pt>
                <c:pt idx="4">
                  <c:v>110.64141228255204</c:v>
                </c:pt>
                <c:pt idx="5">
                  <c:v>130.50289087160712</c:v>
                </c:pt>
                <c:pt idx="6">
                  <c:v>43.791811743296883</c:v>
                </c:pt>
                <c:pt idx="7">
                  <c:v>10.258660263908</c:v>
                </c:pt>
                <c:pt idx="8">
                  <c:v>0.15749324550957911</c:v>
                </c:pt>
                <c:pt idx="9">
                  <c:v>2.5627718624315832</c:v>
                </c:pt>
                <c:pt idx="10">
                  <c:v>22.311547162532509</c:v>
                </c:pt>
                <c:pt idx="11">
                  <c:v>148.328775020591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6207888"/>
        <c:axId val="986212240"/>
      </c:lineChart>
      <c:catAx>
        <c:axId val="9862040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986212784"/>
        <c:crosses val="autoZero"/>
        <c:auto val="1"/>
        <c:lblAlgn val="ctr"/>
        <c:lblOffset val="100"/>
        <c:noMultiLvlLbl val="0"/>
      </c:catAx>
      <c:valAx>
        <c:axId val="98621278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986204080"/>
        <c:crosses val="autoZero"/>
        <c:crossBetween val="between"/>
      </c:valAx>
      <c:valAx>
        <c:axId val="986212240"/>
        <c:scaling>
          <c:orientation val="minMax"/>
        </c:scaling>
        <c:delete val="1"/>
        <c:axPos val="r"/>
        <c:numFmt formatCode="0.00" sourceLinked="1"/>
        <c:majorTickMark val="out"/>
        <c:minorTickMark val="none"/>
        <c:tickLblPos val="nextTo"/>
        <c:crossAx val="986207888"/>
        <c:crosses val="max"/>
        <c:crossBetween val="between"/>
      </c:valAx>
      <c:catAx>
        <c:axId val="986207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621224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Año 1984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'Cuenca Rio Chico'!$D$26</c:f>
              <c:strCache>
                <c:ptCount val="1"/>
                <c:pt idx="0">
                  <c:v>Q (Autor)Pol.E.</c:v>
                </c:pt>
              </c:strCache>
            </c:strRef>
          </c:tx>
          <c:marker>
            <c:symbol val="none"/>
          </c:marker>
          <c:cat>
            <c:strRef>
              <c:f>'Cuenca Rio Chico'!$A$28:$A$39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Agos.</c:v>
                </c:pt>
                <c:pt idx="8">
                  <c:v>Sept.</c:v>
                </c:pt>
                <c:pt idx="9">
                  <c:v>Octubre</c:v>
                </c:pt>
                <c:pt idx="10">
                  <c:v>Nov.</c:v>
                </c:pt>
                <c:pt idx="11">
                  <c:v>Diciem.</c:v>
                </c:pt>
              </c:strCache>
            </c:strRef>
          </c:cat>
          <c:val>
            <c:numRef>
              <c:f>'Cuenca Rio Chico'!$D$80:$D$91</c:f>
              <c:numCache>
                <c:formatCode>0.00</c:formatCode>
                <c:ptCount val="12"/>
                <c:pt idx="0">
                  <c:v>3.03</c:v>
                </c:pt>
                <c:pt idx="1">
                  <c:v>22.748000000000001</c:v>
                </c:pt>
                <c:pt idx="2">
                  <c:v>24.16</c:v>
                </c:pt>
                <c:pt idx="3">
                  <c:v>15.683999999999999</c:v>
                </c:pt>
                <c:pt idx="4">
                  <c:v>6.6859999999999999</c:v>
                </c:pt>
                <c:pt idx="5">
                  <c:v>2.4980000000000002</c:v>
                </c:pt>
                <c:pt idx="6">
                  <c:v>1.0429999999999999</c:v>
                </c:pt>
                <c:pt idx="7">
                  <c:v>0.96499999999999997</c:v>
                </c:pt>
                <c:pt idx="8">
                  <c:v>0.872</c:v>
                </c:pt>
                <c:pt idx="9">
                  <c:v>0.59899999999999998</c:v>
                </c:pt>
                <c:pt idx="10">
                  <c:v>0.46100000000000002</c:v>
                </c:pt>
                <c:pt idx="11">
                  <c:v>9.5269999999999992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'Cuenca Rio Chico'!$E$26</c:f>
              <c:strCache>
                <c:ptCount val="1"/>
                <c:pt idx="0">
                  <c:v>Q (ponderado)Pol.E.</c:v>
                </c:pt>
              </c:strCache>
            </c:strRef>
          </c:tx>
          <c:marker>
            <c:symbol val="none"/>
          </c:marker>
          <c:cat>
            <c:strRef>
              <c:f>'Cuenca Rio Chico'!$A$28:$A$39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Agos.</c:v>
                </c:pt>
                <c:pt idx="8">
                  <c:v>Sept.</c:v>
                </c:pt>
                <c:pt idx="9">
                  <c:v>Octubre</c:v>
                </c:pt>
                <c:pt idx="10">
                  <c:v>Nov.</c:v>
                </c:pt>
                <c:pt idx="11">
                  <c:v>Diciem.</c:v>
                </c:pt>
              </c:strCache>
            </c:strRef>
          </c:cat>
          <c:val>
            <c:numRef>
              <c:f>'Cuenca Rio Chico'!$E$80:$E$91</c:f>
              <c:numCache>
                <c:formatCode>0.000</c:formatCode>
                <c:ptCount val="12"/>
                <c:pt idx="0">
                  <c:v>3.0296635991227951</c:v>
                </c:pt>
                <c:pt idx="1">
                  <c:v>22.748064123483307</c:v>
                </c:pt>
                <c:pt idx="2">
                  <c:v>24.160653744947812</c:v>
                </c:pt>
                <c:pt idx="3">
                  <c:v>15.684580668202518</c:v>
                </c:pt>
                <c:pt idx="4">
                  <c:v>6.6862622822780891</c:v>
                </c:pt>
                <c:pt idx="5">
                  <c:v>2.4979737438055065</c:v>
                </c:pt>
                <c:pt idx="6">
                  <c:v>1.0427933378549086</c:v>
                </c:pt>
                <c:pt idx="7">
                  <c:v>0.96477239985037766</c:v>
                </c:pt>
                <c:pt idx="8">
                  <c:v>0.87161842445595761</c:v>
                </c:pt>
                <c:pt idx="9">
                  <c:v>0.59857491844150801</c:v>
                </c:pt>
                <c:pt idx="10">
                  <c:v>0.46129687330947627</c:v>
                </c:pt>
                <c:pt idx="11">
                  <c:v>9.5271145988214645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'Cuenca Rio Chico'!$F$26</c:f>
              <c:strCache>
                <c:ptCount val="1"/>
                <c:pt idx="0">
                  <c:v>Q (Calibrado)Pol.E.</c:v>
                </c:pt>
              </c:strCache>
            </c:strRef>
          </c:tx>
          <c:marker>
            <c:symbol val="none"/>
          </c:marker>
          <c:cat>
            <c:strRef>
              <c:f>'Cuenca Rio Chico'!$A$28:$A$39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Agos.</c:v>
                </c:pt>
                <c:pt idx="8">
                  <c:v>Sept.</c:v>
                </c:pt>
                <c:pt idx="9">
                  <c:v>Octubre</c:v>
                </c:pt>
                <c:pt idx="10">
                  <c:v>Nov.</c:v>
                </c:pt>
                <c:pt idx="11">
                  <c:v>Diciem.</c:v>
                </c:pt>
              </c:strCache>
            </c:strRef>
          </c:cat>
          <c:val>
            <c:numRef>
              <c:f>'Cuenca Rio Chico'!$F$80:$F$91</c:f>
              <c:numCache>
                <c:formatCode>0.000</c:formatCode>
                <c:ptCount val="12"/>
                <c:pt idx="0">
                  <c:v>1.6586261837552938</c:v>
                </c:pt>
                <c:pt idx="1">
                  <c:v>6.0402472427023399</c:v>
                </c:pt>
                <c:pt idx="2">
                  <c:v>12.716847663282815</c:v>
                </c:pt>
                <c:pt idx="3">
                  <c:v>6.8757923192263188</c:v>
                </c:pt>
                <c:pt idx="4">
                  <c:v>4.0334360740431174</c:v>
                </c:pt>
                <c:pt idx="5">
                  <c:v>3.2249325024527731</c:v>
                </c:pt>
                <c:pt idx="6">
                  <c:v>2.00758055245266</c:v>
                </c:pt>
                <c:pt idx="7">
                  <c:v>0.49052964615577582</c:v>
                </c:pt>
                <c:pt idx="8">
                  <c:v>0.33973196129333344</c:v>
                </c:pt>
                <c:pt idx="9">
                  <c:v>0.41796217490771381</c:v>
                </c:pt>
                <c:pt idx="10">
                  <c:v>0.38976613125859372</c:v>
                </c:pt>
                <c:pt idx="11">
                  <c:v>0.96354939316255084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'Cuenca Rio Chico'!$G$26</c:f>
              <c:strCache>
                <c:ptCount val="1"/>
                <c:pt idx="0">
                  <c:v>Q (M. Gomez)</c:v>
                </c:pt>
              </c:strCache>
            </c:strRef>
          </c:tx>
          <c:marker>
            <c:symbol val="none"/>
          </c:marker>
          <c:cat>
            <c:strRef>
              <c:f>'Cuenca Rio Chico'!$A$28:$A$39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Agos.</c:v>
                </c:pt>
                <c:pt idx="8">
                  <c:v>Sept.</c:v>
                </c:pt>
                <c:pt idx="9">
                  <c:v>Octubre</c:v>
                </c:pt>
                <c:pt idx="10">
                  <c:v>Nov.</c:v>
                </c:pt>
                <c:pt idx="11">
                  <c:v>Diciem.</c:v>
                </c:pt>
              </c:strCache>
            </c:strRef>
          </c:cat>
          <c:val>
            <c:numRef>
              <c:f>'Cuenca Rio Chico'!$G$80:$G$91</c:f>
              <c:numCache>
                <c:formatCode>0.00</c:formatCode>
                <c:ptCount val="12"/>
                <c:pt idx="0">
                  <c:v>3.2252845368984082</c:v>
                </c:pt>
                <c:pt idx="1">
                  <c:v>27.964819323843596</c:v>
                </c:pt>
                <c:pt idx="2">
                  <c:v>22.868575791894187</c:v>
                </c:pt>
                <c:pt idx="3">
                  <c:v>14.239394460274729</c:v>
                </c:pt>
                <c:pt idx="4">
                  <c:v>5.7529365806998358</c:v>
                </c:pt>
                <c:pt idx="5">
                  <c:v>2.726891762043016</c:v>
                </c:pt>
                <c:pt idx="6">
                  <c:v>0.99019634694337466</c:v>
                </c:pt>
                <c:pt idx="7">
                  <c:v>1.7135619064175267</c:v>
                </c:pt>
                <c:pt idx="8">
                  <c:v>1.2826179034881051</c:v>
                </c:pt>
                <c:pt idx="9">
                  <c:v>0.7795203853046595</c:v>
                </c:pt>
                <c:pt idx="10">
                  <c:v>0.70614031730816851</c:v>
                </c:pt>
                <c:pt idx="11">
                  <c:v>12.647580875076212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'Cuenca Rio Chico'!$H$26</c:f>
              <c:strCache>
                <c:ptCount val="1"/>
                <c:pt idx="0">
                  <c:v>Q (Prediccion)  Ch.</c:v>
                </c:pt>
              </c:strCache>
            </c:strRef>
          </c:tx>
          <c:marker>
            <c:symbol val="none"/>
          </c:marker>
          <c:cat>
            <c:strRef>
              <c:f>'Cuenca Rio Chico'!$A$28:$A$39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Agos.</c:v>
                </c:pt>
                <c:pt idx="8">
                  <c:v>Sept.</c:v>
                </c:pt>
                <c:pt idx="9">
                  <c:v>Octubre</c:v>
                </c:pt>
                <c:pt idx="10">
                  <c:v>Nov.</c:v>
                </c:pt>
                <c:pt idx="11">
                  <c:v>Diciem.</c:v>
                </c:pt>
              </c:strCache>
            </c:strRef>
          </c:cat>
          <c:val>
            <c:numRef>
              <c:f>'Cuenca Rio Chico'!$H$80:$H$91</c:f>
              <c:numCache>
                <c:formatCode>0.00000</c:formatCode>
                <c:ptCount val="12"/>
                <c:pt idx="0">
                  <c:v>6.5450991402942336</c:v>
                </c:pt>
                <c:pt idx="1">
                  <c:v>11.998358078599955</c:v>
                </c:pt>
                <c:pt idx="2">
                  <c:v>18.075346931975954</c:v>
                </c:pt>
                <c:pt idx="3">
                  <c:v>33.287424497976929</c:v>
                </c:pt>
                <c:pt idx="4">
                  <c:v>47.863796420651383</c:v>
                </c:pt>
                <c:pt idx="5">
                  <c:v>36.229558196092199</c:v>
                </c:pt>
                <c:pt idx="6">
                  <c:v>17.837565871919463</c:v>
                </c:pt>
                <c:pt idx="7">
                  <c:v>9.2634902485851693</c:v>
                </c:pt>
                <c:pt idx="8">
                  <c:v>9.4348337046596331</c:v>
                </c:pt>
                <c:pt idx="9">
                  <c:v>17.672507026710672</c:v>
                </c:pt>
                <c:pt idx="10">
                  <c:v>36.975212565698897</c:v>
                </c:pt>
                <c:pt idx="11">
                  <c:v>23.678473033761176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'Cuenca Rio Chico'!$I$26</c:f>
              <c:strCache>
                <c:ptCount val="1"/>
                <c:pt idx="0">
                  <c:v>Q (Prediccion) Vic.2</c:v>
                </c:pt>
              </c:strCache>
            </c:strRef>
          </c:tx>
          <c:marker>
            <c:symbol val="none"/>
          </c:marker>
          <c:cat>
            <c:strRef>
              <c:f>'Cuenca Rio Chico'!$A$28:$A$39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Agos.</c:v>
                </c:pt>
                <c:pt idx="8">
                  <c:v>Sept.</c:v>
                </c:pt>
                <c:pt idx="9">
                  <c:v>Octubre</c:v>
                </c:pt>
                <c:pt idx="10">
                  <c:v>Nov.</c:v>
                </c:pt>
                <c:pt idx="11">
                  <c:v>Diciem.</c:v>
                </c:pt>
              </c:strCache>
            </c:strRef>
          </c:cat>
          <c:val>
            <c:numRef>
              <c:f>'Cuenca Rio Chico'!$I$80:$I$91</c:f>
              <c:numCache>
                <c:formatCode>0.00000</c:formatCode>
                <c:ptCount val="12"/>
                <c:pt idx="0">
                  <c:v>4.8487286992985306</c:v>
                </c:pt>
                <c:pt idx="1">
                  <c:v>1.1442733579183229</c:v>
                </c:pt>
                <c:pt idx="2">
                  <c:v>1.7238306936580625</c:v>
                </c:pt>
                <c:pt idx="3">
                  <c:v>3.1745937866856284</c:v>
                </c:pt>
                <c:pt idx="4">
                  <c:v>4.5647301650934429</c:v>
                </c:pt>
                <c:pt idx="5">
                  <c:v>5.1545267563389139</c:v>
                </c:pt>
                <c:pt idx="6">
                  <c:v>5.3725715952251214</c:v>
                </c:pt>
                <c:pt idx="7">
                  <c:v>5.3445689423830434</c:v>
                </c:pt>
                <c:pt idx="8">
                  <c:v>5.4434255168751537</c:v>
                </c:pt>
                <c:pt idx="9">
                  <c:v>5.3228568264233189</c:v>
                </c:pt>
                <c:pt idx="10">
                  <c:v>5.2606140394991412</c:v>
                </c:pt>
                <c:pt idx="11">
                  <c:v>3.3688327674648866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200816"/>
        <c:axId val="986214416"/>
      </c:lineChart>
      <c:catAx>
        <c:axId val="9862008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986214416"/>
        <c:crossesAt val="0"/>
        <c:auto val="1"/>
        <c:lblAlgn val="ctr"/>
        <c:lblOffset val="100"/>
        <c:noMultiLvlLbl val="0"/>
      </c:catAx>
      <c:valAx>
        <c:axId val="986214416"/>
        <c:scaling>
          <c:orientation val="minMax"/>
          <c:max val="50"/>
        </c:scaling>
        <c:delete val="0"/>
        <c:axPos val="l"/>
        <c:majorGridlines/>
        <c:title>
          <c:overlay val="0"/>
        </c:title>
        <c:numFmt formatCode="###0.00" sourceLinked="0"/>
        <c:majorTickMark val="none"/>
        <c:minorTickMark val="none"/>
        <c:tickLblPos val="nextTo"/>
        <c:crossAx val="986200816"/>
        <c:crosses val="autoZero"/>
        <c:crossBetween val="between"/>
        <c:minorUnit val="2"/>
      </c:valAx>
      <c:dTable>
        <c:showHorzBorder val="1"/>
        <c:showVertBorder val="1"/>
        <c:showOutline val="1"/>
        <c:showKeys val="1"/>
      </c:dTable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Año 1984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758383974496088"/>
          <c:y val="0.16359933314123556"/>
          <c:w val="0.81773228146168186"/>
          <c:h val="0.58494702152474998"/>
        </c:manualLayout>
      </c:layout>
      <c:lineChart>
        <c:grouping val="standard"/>
        <c:varyColors val="0"/>
        <c:ser>
          <c:idx val="0"/>
          <c:order val="0"/>
          <c:tx>
            <c:strRef>
              <c:f>'Cuenca Rio Chico FINAL'!$D$28</c:f>
              <c:strCache>
                <c:ptCount val="1"/>
                <c:pt idx="0">
                  <c:v>Q (Autor)Pol.E.</c:v>
                </c:pt>
              </c:strCache>
            </c:strRef>
          </c:tx>
          <c:marker>
            <c:symbol val="none"/>
          </c:marker>
          <c:cat>
            <c:strRef>
              <c:f>'Cuenca Rio Chico FINAL'!$A$30:$A$41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Agos.</c:v>
                </c:pt>
                <c:pt idx="8">
                  <c:v>Sept.</c:v>
                </c:pt>
                <c:pt idx="9">
                  <c:v>Octubre</c:v>
                </c:pt>
                <c:pt idx="10">
                  <c:v>Nov.</c:v>
                </c:pt>
                <c:pt idx="11">
                  <c:v>Diciem.</c:v>
                </c:pt>
              </c:strCache>
            </c:strRef>
          </c:cat>
          <c:val>
            <c:numRef>
              <c:f>'Cuenca Rio Chico FINAL'!$D$82:$D$93</c:f>
              <c:numCache>
                <c:formatCode>0.00</c:formatCode>
                <c:ptCount val="12"/>
                <c:pt idx="0">
                  <c:v>3.03</c:v>
                </c:pt>
                <c:pt idx="1">
                  <c:v>22.748000000000001</c:v>
                </c:pt>
                <c:pt idx="2">
                  <c:v>24.16</c:v>
                </c:pt>
                <c:pt idx="3">
                  <c:v>15.683999999999999</c:v>
                </c:pt>
                <c:pt idx="4">
                  <c:v>6.6859999999999999</c:v>
                </c:pt>
                <c:pt idx="5">
                  <c:v>2.4980000000000002</c:v>
                </c:pt>
                <c:pt idx="6">
                  <c:v>1.0429999999999999</c:v>
                </c:pt>
                <c:pt idx="7">
                  <c:v>0.96499999999999997</c:v>
                </c:pt>
                <c:pt idx="8">
                  <c:v>0.872</c:v>
                </c:pt>
                <c:pt idx="9">
                  <c:v>0.59899999999999998</c:v>
                </c:pt>
                <c:pt idx="10">
                  <c:v>0.46100000000000002</c:v>
                </c:pt>
                <c:pt idx="11">
                  <c:v>9.5269999999999992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'Cuenca Rio Chico FINAL'!$E$28</c:f>
              <c:strCache>
                <c:ptCount val="1"/>
                <c:pt idx="0">
                  <c:v>Q (ponderado)Pol.E.</c:v>
                </c:pt>
              </c:strCache>
            </c:strRef>
          </c:tx>
          <c:marker>
            <c:symbol val="none"/>
          </c:marker>
          <c:cat>
            <c:strRef>
              <c:f>'Cuenca Rio Chico FINAL'!$A$30:$A$41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Agos.</c:v>
                </c:pt>
                <c:pt idx="8">
                  <c:v>Sept.</c:v>
                </c:pt>
                <c:pt idx="9">
                  <c:v>Octubre</c:v>
                </c:pt>
                <c:pt idx="10">
                  <c:v>Nov.</c:v>
                </c:pt>
                <c:pt idx="11">
                  <c:v>Diciem.</c:v>
                </c:pt>
              </c:strCache>
            </c:strRef>
          </c:cat>
          <c:val>
            <c:numRef>
              <c:f>'Cuenca Rio Chico FINAL'!$E$82:$E$93</c:f>
              <c:numCache>
                <c:formatCode>0.000</c:formatCode>
                <c:ptCount val="12"/>
                <c:pt idx="0">
                  <c:v>3.3031744276685333</c:v>
                </c:pt>
                <c:pt idx="1">
                  <c:v>26.75165555313589</c:v>
                </c:pt>
                <c:pt idx="2">
                  <c:v>28.55930492500303</c:v>
                </c:pt>
                <c:pt idx="3">
                  <c:v>18.234778759429002</c:v>
                </c:pt>
                <c:pt idx="4">
                  <c:v>7.5312642573034783</c:v>
                </c:pt>
                <c:pt idx="5">
                  <c:v>2.7033828711932046</c:v>
                </c:pt>
                <c:pt idx="6">
                  <c:v>1.0824257666004113</c:v>
                </c:pt>
                <c:pt idx="7">
                  <c:v>0.99750778704611121</c:v>
                </c:pt>
                <c:pt idx="8">
                  <c:v>0.89657592695281085</c:v>
                </c:pt>
                <c:pt idx="9">
                  <c:v>0.60411998311006476</c:v>
                </c:pt>
                <c:pt idx="10">
                  <c:v>0.45947515421734297</c:v>
                </c:pt>
                <c:pt idx="11">
                  <c:v>10.808926540176055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'Cuenca Rio Chico FINAL'!$F$28</c:f>
              <c:strCache>
                <c:ptCount val="1"/>
                <c:pt idx="0">
                  <c:v>Q (Calibrado)Pol.E.</c:v>
                </c:pt>
              </c:strCache>
            </c:strRef>
          </c:tx>
          <c:marker>
            <c:symbol val="none"/>
          </c:marker>
          <c:cat>
            <c:strRef>
              <c:f>'Cuenca Rio Chico FINAL'!$A$30:$A$41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Agos.</c:v>
                </c:pt>
                <c:pt idx="8">
                  <c:v>Sept.</c:v>
                </c:pt>
                <c:pt idx="9">
                  <c:v>Octubre</c:v>
                </c:pt>
                <c:pt idx="10">
                  <c:v>Nov.</c:v>
                </c:pt>
                <c:pt idx="11">
                  <c:v>Diciem.</c:v>
                </c:pt>
              </c:strCache>
            </c:strRef>
          </c:cat>
          <c:val>
            <c:numRef>
              <c:f>'Cuenca Rio Chico FINAL'!$F$82:$F$93</c:f>
              <c:numCache>
                <c:formatCode>0.000</c:formatCode>
                <c:ptCount val="12"/>
                <c:pt idx="0">
                  <c:v>1.6586261837552938</c:v>
                </c:pt>
                <c:pt idx="1">
                  <c:v>6.0402472427023399</c:v>
                </c:pt>
                <c:pt idx="2">
                  <c:v>12.716847663282815</c:v>
                </c:pt>
                <c:pt idx="3">
                  <c:v>6.8757923192263188</c:v>
                </c:pt>
                <c:pt idx="4">
                  <c:v>4.0334360740431174</c:v>
                </c:pt>
                <c:pt idx="5">
                  <c:v>3.2249325024527731</c:v>
                </c:pt>
                <c:pt idx="6">
                  <c:v>2.00758055245266</c:v>
                </c:pt>
                <c:pt idx="7">
                  <c:v>0.49052964615577582</c:v>
                </c:pt>
                <c:pt idx="8">
                  <c:v>0.33973196129333344</c:v>
                </c:pt>
                <c:pt idx="9">
                  <c:v>0.41796217490771381</c:v>
                </c:pt>
                <c:pt idx="10">
                  <c:v>0.38976613125859372</c:v>
                </c:pt>
                <c:pt idx="11">
                  <c:v>0.96354939316255084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'Cuenca Rio Chico FINAL'!$G$28</c:f>
              <c:strCache>
                <c:ptCount val="1"/>
                <c:pt idx="0">
                  <c:v>Q (M. Gomez)</c:v>
                </c:pt>
              </c:strCache>
            </c:strRef>
          </c:tx>
          <c:marker>
            <c:symbol val="none"/>
          </c:marker>
          <c:cat>
            <c:strRef>
              <c:f>'Cuenca Rio Chico FINAL'!$A$30:$A$41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Agos.</c:v>
                </c:pt>
                <c:pt idx="8">
                  <c:v>Sept.</c:v>
                </c:pt>
                <c:pt idx="9">
                  <c:v>Octubre</c:v>
                </c:pt>
                <c:pt idx="10">
                  <c:v>Nov.</c:v>
                </c:pt>
                <c:pt idx="11">
                  <c:v>Diciem.</c:v>
                </c:pt>
              </c:strCache>
            </c:strRef>
          </c:cat>
          <c:val>
            <c:numRef>
              <c:f>'Cuenca Rio Chico FINAL'!$G$82:$G$93</c:f>
              <c:numCache>
                <c:formatCode>0.00</c:formatCode>
                <c:ptCount val="12"/>
                <c:pt idx="0" formatCode="0.0000">
                  <c:v>3.2252845368984082</c:v>
                </c:pt>
                <c:pt idx="1">
                  <c:v>27.964819323843596</c:v>
                </c:pt>
                <c:pt idx="2">
                  <c:v>22.868575791894187</c:v>
                </c:pt>
                <c:pt idx="3">
                  <c:v>14.239394460274729</c:v>
                </c:pt>
                <c:pt idx="4">
                  <c:v>5.7529365806998358</c:v>
                </c:pt>
                <c:pt idx="5">
                  <c:v>2.726891762043016</c:v>
                </c:pt>
                <c:pt idx="6">
                  <c:v>0.99019634694337466</c:v>
                </c:pt>
                <c:pt idx="7">
                  <c:v>1.7135619064175267</c:v>
                </c:pt>
                <c:pt idx="8">
                  <c:v>1.2826179034881051</c:v>
                </c:pt>
                <c:pt idx="9">
                  <c:v>0.7795203853046595</c:v>
                </c:pt>
                <c:pt idx="10">
                  <c:v>0.70614031730816851</c:v>
                </c:pt>
                <c:pt idx="11">
                  <c:v>12.647580875076212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'Cuenca Rio Chico FINAL'!$H$28</c:f>
              <c:strCache>
                <c:ptCount val="1"/>
                <c:pt idx="0">
                  <c:v>Q (Prediccion)  Ch.</c:v>
                </c:pt>
              </c:strCache>
            </c:strRef>
          </c:tx>
          <c:marker>
            <c:symbol val="none"/>
          </c:marker>
          <c:cat>
            <c:strRef>
              <c:f>'Cuenca Rio Chico FINAL'!$A$30:$A$41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Agos.</c:v>
                </c:pt>
                <c:pt idx="8">
                  <c:v>Sept.</c:v>
                </c:pt>
                <c:pt idx="9">
                  <c:v>Octubre</c:v>
                </c:pt>
                <c:pt idx="10">
                  <c:v>Nov.</c:v>
                </c:pt>
                <c:pt idx="11">
                  <c:v>Diciem.</c:v>
                </c:pt>
              </c:strCache>
            </c:strRef>
          </c:cat>
          <c:val>
            <c:numRef>
              <c:f>'Cuenca Rio Chico FINAL'!$H$82:$H$93</c:f>
              <c:numCache>
                <c:formatCode>0.0000</c:formatCode>
                <c:ptCount val="12"/>
                <c:pt idx="0">
                  <c:v>0.94726386730129475</c:v>
                </c:pt>
                <c:pt idx="1">
                  <c:v>16.209081608316204</c:v>
                </c:pt>
                <c:pt idx="2">
                  <c:v>2.5711850532332599</c:v>
                </c:pt>
                <c:pt idx="3">
                  <c:v>0.66876105431997412</c:v>
                </c:pt>
                <c:pt idx="4">
                  <c:v>1.5631654816032172</c:v>
                </c:pt>
                <c:pt idx="5">
                  <c:v>0.57022710747440897</c:v>
                </c:pt>
                <c:pt idx="6">
                  <c:v>0.40431934859035223</c:v>
                </c:pt>
                <c:pt idx="7">
                  <c:v>0.42223947498250625</c:v>
                </c:pt>
                <c:pt idx="8">
                  <c:v>0.36266352100274712</c:v>
                </c:pt>
                <c:pt idx="9">
                  <c:v>0.4367473037775006</c:v>
                </c:pt>
                <c:pt idx="10">
                  <c:v>0.48152989169183968</c:v>
                </c:pt>
                <c:pt idx="11">
                  <c:v>0.9619733305417808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'Cuenca Rio Chico FINAL'!$I$28</c:f>
              <c:strCache>
                <c:ptCount val="1"/>
                <c:pt idx="0">
                  <c:v>Q (Prediccion) Vic.2</c:v>
                </c:pt>
              </c:strCache>
            </c:strRef>
          </c:tx>
          <c:marker>
            <c:symbol val="none"/>
          </c:marker>
          <c:cat>
            <c:strRef>
              <c:f>'Cuenca Rio Chico FINAL'!$A$30:$A$41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Agos.</c:v>
                </c:pt>
                <c:pt idx="8">
                  <c:v>Sept.</c:v>
                </c:pt>
                <c:pt idx="9">
                  <c:v>Octubre</c:v>
                </c:pt>
                <c:pt idx="10">
                  <c:v>Nov.</c:v>
                </c:pt>
                <c:pt idx="11">
                  <c:v>Diciem.</c:v>
                </c:pt>
              </c:strCache>
            </c:strRef>
          </c:cat>
          <c:val>
            <c:numRef>
              <c:f>'Cuenca Rio Chico FINAL'!$I$82:$I$93</c:f>
              <c:numCache>
                <c:formatCode>0.00000</c:formatCode>
                <c:ptCount val="12"/>
                <c:pt idx="0">
                  <c:v>7.4395845243518846</c:v>
                </c:pt>
                <c:pt idx="1">
                  <c:v>9.419583340171009</c:v>
                </c:pt>
                <c:pt idx="2">
                  <c:v>8.0832294741433302</c:v>
                </c:pt>
                <c:pt idx="3">
                  <c:v>7.2274376175840915</c:v>
                </c:pt>
                <c:pt idx="4">
                  <c:v>7.7557749093027493</c:v>
                </c:pt>
                <c:pt idx="5">
                  <c:v>3.2047673226018403</c:v>
                </c:pt>
                <c:pt idx="6">
                  <c:v>0.69493853797573979</c:v>
                </c:pt>
                <c:pt idx="7">
                  <c:v>0.19007659884287631</c:v>
                </c:pt>
                <c:pt idx="8">
                  <c:v>0.18768936078787213</c:v>
                </c:pt>
                <c:pt idx="9">
                  <c:v>0.6994080623558826</c:v>
                </c:pt>
                <c:pt idx="10">
                  <c:v>3.160058393735877</c:v>
                </c:pt>
                <c:pt idx="11">
                  <c:v>3.3471038688625345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210064"/>
        <c:axId val="986199184"/>
      </c:lineChart>
      <c:catAx>
        <c:axId val="9862100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986199184"/>
        <c:crossesAt val="0"/>
        <c:auto val="1"/>
        <c:lblAlgn val="ctr"/>
        <c:lblOffset val="100"/>
        <c:noMultiLvlLbl val="0"/>
      </c:catAx>
      <c:valAx>
        <c:axId val="986199184"/>
        <c:scaling>
          <c:orientation val="minMax"/>
          <c:max val="50"/>
        </c:scaling>
        <c:delete val="0"/>
        <c:axPos val="l"/>
        <c:majorGridlines/>
        <c:title>
          <c:layout/>
          <c:overlay val="0"/>
        </c:title>
        <c:numFmt formatCode="###0.00" sourceLinked="0"/>
        <c:majorTickMark val="none"/>
        <c:minorTickMark val="none"/>
        <c:tickLblPos val="nextTo"/>
        <c:crossAx val="986210064"/>
        <c:crosses val="autoZero"/>
        <c:crossBetween val="between"/>
        <c:minorUnit val="2"/>
      </c:valAx>
      <c:dTable>
        <c:showHorzBorder val="1"/>
        <c:showVertBorder val="1"/>
        <c:showOutline val="1"/>
        <c:showKeys val="1"/>
      </c:dTable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image" Target="../media/image4.gi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gif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3.png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gif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5" Type="http://schemas.openxmlformats.org/officeDocument/2006/relationships/image" Target="../media/image5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10374</xdr:colOff>
      <xdr:row>39</xdr:row>
      <xdr:rowOff>165847</xdr:rowOff>
    </xdr:from>
    <xdr:to>
      <xdr:col>25</xdr:col>
      <xdr:colOff>138434</xdr:colOff>
      <xdr:row>42</xdr:row>
      <xdr:rowOff>96772</xdr:rowOff>
    </xdr:to>
    <xdr:pic>
      <xdr:nvPicPr>
        <xdr:cNvPr id="2" name="1 Imagen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0696" t="53790" r="35655" b="38621"/>
        <a:stretch/>
      </xdr:blipFill>
      <xdr:spPr>
        <a:xfrm>
          <a:off x="11451580" y="3975847"/>
          <a:ext cx="5719794" cy="504826"/>
        </a:xfrm>
        <a:prstGeom prst="rect">
          <a:avLst/>
        </a:prstGeom>
      </xdr:spPr>
    </xdr:pic>
    <xdr:clientData/>
  </xdr:twoCellAnchor>
  <xdr:twoCellAnchor>
    <xdr:from>
      <xdr:col>8</xdr:col>
      <xdr:colOff>369794</xdr:colOff>
      <xdr:row>1</xdr:row>
      <xdr:rowOff>44824</xdr:rowOff>
    </xdr:from>
    <xdr:to>
      <xdr:col>10</xdr:col>
      <xdr:colOff>341219</xdr:colOff>
      <xdr:row>3</xdr:row>
      <xdr:rowOff>149599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6712324"/>
          <a:ext cx="1495425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761999</xdr:colOff>
      <xdr:row>43</xdr:row>
      <xdr:rowOff>0</xdr:rowOff>
    </xdr:from>
    <xdr:to>
      <xdr:col>26</xdr:col>
      <xdr:colOff>271144</xdr:colOff>
      <xdr:row>44</xdr:row>
      <xdr:rowOff>89647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70940" y="6858000"/>
          <a:ext cx="1795145" cy="3249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380658</xdr:colOff>
      <xdr:row>21</xdr:row>
      <xdr:rowOff>43222</xdr:rowOff>
    </xdr:from>
    <xdr:to>
      <xdr:col>20</xdr:col>
      <xdr:colOff>449035</xdr:colOff>
      <xdr:row>25</xdr:row>
      <xdr:rowOff>13082</xdr:rowOff>
    </xdr:to>
    <xdr:pic>
      <xdr:nvPicPr>
        <xdr:cNvPr id="5" name="4 Imagen" descr="http://www.astm.org/SNEWS/SPANISH/SPMA11/images/ma11dp_1_big.gif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73551" y="2710222"/>
          <a:ext cx="2531270" cy="8407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13607</xdr:colOff>
      <xdr:row>153</xdr:row>
      <xdr:rowOff>217714</xdr:rowOff>
    </xdr:from>
    <xdr:to>
      <xdr:col>32</xdr:col>
      <xdr:colOff>625928</xdr:colOff>
      <xdr:row>174</xdr:row>
      <xdr:rowOff>176894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131</xdr:row>
      <xdr:rowOff>108857</xdr:rowOff>
    </xdr:from>
    <xdr:to>
      <xdr:col>32</xdr:col>
      <xdr:colOff>571499</xdr:colOff>
      <xdr:row>149</xdr:row>
      <xdr:rowOff>95250</xdr:rowOff>
    </xdr:to>
    <xdr:graphicFrame macro="">
      <xdr:nvGraphicFramePr>
        <xdr:cNvPr id="9" name="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739589</xdr:colOff>
      <xdr:row>63</xdr:row>
      <xdr:rowOff>64996</xdr:rowOff>
    </xdr:from>
    <xdr:to>
      <xdr:col>26</xdr:col>
      <xdr:colOff>195294</xdr:colOff>
      <xdr:row>66</xdr:row>
      <xdr:rowOff>5649</xdr:rowOff>
    </xdr:to>
    <xdr:pic>
      <xdr:nvPicPr>
        <xdr:cNvPr id="2" name="1 Imagen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0696" t="53790" r="35655" b="38621"/>
        <a:stretch/>
      </xdr:blipFill>
      <xdr:spPr>
        <a:xfrm>
          <a:off x="16663148" y="12839702"/>
          <a:ext cx="5719794" cy="504826"/>
        </a:xfrm>
        <a:prstGeom prst="rect">
          <a:avLst/>
        </a:prstGeom>
      </xdr:spPr>
    </xdr:pic>
    <xdr:clientData/>
  </xdr:twoCellAnchor>
  <xdr:twoCellAnchor>
    <xdr:from>
      <xdr:col>5</xdr:col>
      <xdr:colOff>369794</xdr:colOff>
      <xdr:row>2</xdr:row>
      <xdr:rowOff>44824</xdr:rowOff>
    </xdr:from>
    <xdr:to>
      <xdr:col>7</xdr:col>
      <xdr:colOff>0</xdr:colOff>
      <xdr:row>4</xdr:row>
      <xdr:rowOff>149599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8369" y="6902824"/>
          <a:ext cx="158115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81301</xdr:colOff>
      <xdr:row>21</xdr:row>
      <xdr:rowOff>56829</xdr:rowOff>
    </xdr:from>
    <xdr:to>
      <xdr:col>16</xdr:col>
      <xdr:colOff>799</xdr:colOff>
      <xdr:row>24</xdr:row>
      <xdr:rowOff>181970</xdr:rowOff>
    </xdr:to>
    <xdr:pic>
      <xdr:nvPicPr>
        <xdr:cNvPr id="5" name="4 Imagen" descr="http://www.astm.org/SNEWS/SPANISH/SPMA11/images/ma11dp_1_big.gif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68551" y="4057329"/>
          <a:ext cx="2518463" cy="7510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84085</xdr:colOff>
      <xdr:row>71</xdr:row>
      <xdr:rowOff>26356</xdr:rowOff>
    </xdr:from>
    <xdr:to>
      <xdr:col>36</xdr:col>
      <xdr:colOff>2442</xdr:colOff>
      <xdr:row>111</xdr:row>
      <xdr:rowOff>180119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80</xdr:row>
      <xdr:rowOff>0</xdr:rowOff>
    </xdr:from>
    <xdr:to>
      <xdr:col>11</xdr:col>
      <xdr:colOff>361950</xdr:colOff>
      <xdr:row>81</xdr:row>
      <xdr:rowOff>9525</xdr:rowOff>
    </xdr:to>
    <xdr:pic>
      <xdr:nvPicPr>
        <xdr:cNvPr id="6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44200" y="15821025"/>
          <a:ext cx="13525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82</xdr:row>
      <xdr:rowOff>0</xdr:rowOff>
    </xdr:from>
    <xdr:to>
      <xdr:col>11</xdr:col>
      <xdr:colOff>742950</xdr:colOff>
      <xdr:row>83</xdr:row>
      <xdr:rowOff>0</xdr:rowOff>
    </xdr:to>
    <xdr:pic>
      <xdr:nvPicPr>
        <xdr:cNvPr id="7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44200" y="16249650"/>
          <a:ext cx="17335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739589</xdr:colOff>
      <xdr:row>65</xdr:row>
      <xdr:rowOff>64996</xdr:rowOff>
    </xdr:from>
    <xdr:to>
      <xdr:col>26</xdr:col>
      <xdr:colOff>195295</xdr:colOff>
      <xdr:row>68</xdr:row>
      <xdr:rowOff>5649</xdr:rowOff>
    </xdr:to>
    <xdr:pic>
      <xdr:nvPicPr>
        <xdr:cNvPr id="2" name="1 Imagen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0696" t="53790" r="35655" b="38621"/>
        <a:stretch/>
      </xdr:blipFill>
      <xdr:spPr>
        <a:xfrm>
          <a:off x="22513739" y="12999946"/>
          <a:ext cx="5713631" cy="512153"/>
        </a:xfrm>
        <a:prstGeom prst="rect">
          <a:avLst/>
        </a:prstGeom>
      </xdr:spPr>
    </xdr:pic>
    <xdr:clientData/>
  </xdr:twoCellAnchor>
  <xdr:twoCellAnchor>
    <xdr:from>
      <xdr:col>5</xdr:col>
      <xdr:colOff>369794</xdr:colOff>
      <xdr:row>2</xdr:row>
      <xdr:rowOff>44824</xdr:rowOff>
    </xdr:from>
    <xdr:to>
      <xdr:col>7</xdr:col>
      <xdr:colOff>0</xdr:colOff>
      <xdr:row>4</xdr:row>
      <xdr:rowOff>149599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1369" y="425824"/>
          <a:ext cx="1716181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81301</xdr:colOff>
      <xdr:row>23</xdr:row>
      <xdr:rowOff>56829</xdr:rowOff>
    </xdr:from>
    <xdr:to>
      <xdr:col>15</xdr:col>
      <xdr:colOff>1191424</xdr:colOff>
      <xdr:row>26</xdr:row>
      <xdr:rowOff>181970</xdr:rowOff>
    </xdr:to>
    <xdr:pic>
      <xdr:nvPicPr>
        <xdr:cNvPr id="4" name="3 Imagen" descr="http://www.astm.org/SNEWS/SPANISH/SPMA11/images/ma11dp_1_big.gif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12001" y="4438329"/>
          <a:ext cx="2538873" cy="7442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169860</xdr:colOff>
      <xdr:row>94</xdr:row>
      <xdr:rowOff>16215</xdr:rowOff>
    </xdr:from>
    <xdr:to>
      <xdr:col>18</xdr:col>
      <xdr:colOff>279799</xdr:colOff>
      <xdr:row>123</xdr:row>
      <xdr:rowOff>146328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9071</xdr:colOff>
      <xdr:row>35</xdr:row>
      <xdr:rowOff>122463</xdr:rowOff>
    </xdr:from>
    <xdr:to>
      <xdr:col>11</xdr:col>
      <xdr:colOff>752021</xdr:colOff>
      <xdr:row>36</xdr:row>
      <xdr:rowOff>250976</xdr:rowOff>
    </xdr:to>
    <xdr:pic>
      <xdr:nvPicPr>
        <xdr:cNvPr id="6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0246" y="6961413"/>
          <a:ext cx="2171700" cy="347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321468</xdr:colOff>
      <xdr:row>76</xdr:row>
      <xdr:rowOff>27404</xdr:rowOff>
    </xdr:from>
    <xdr:to>
      <xdr:col>11</xdr:col>
      <xdr:colOff>683418</xdr:colOff>
      <xdr:row>77</xdr:row>
      <xdr:rowOff>101563</xdr:rowOff>
    </xdr:to>
    <xdr:pic>
      <xdr:nvPicPr>
        <xdr:cNvPr id="7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2312" y="15064998"/>
          <a:ext cx="1790700" cy="2646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D468"/>
  <sheetViews>
    <sheetView topLeftCell="A51" zoomScale="70" zoomScaleNormal="70" workbookViewId="0">
      <selection activeCell="A44" sqref="A44"/>
    </sheetView>
  </sheetViews>
  <sheetFormatPr baseColWidth="10" defaultRowHeight="15" x14ac:dyDescent="0.25"/>
  <cols>
    <col min="1" max="1" width="13" customWidth="1"/>
    <col min="2" max="2" width="13.140625" customWidth="1"/>
    <col min="3" max="3" width="14.5703125" customWidth="1"/>
    <col min="4" max="4" width="17.7109375" style="64" customWidth="1"/>
    <col min="5" max="5" width="19.42578125" customWidth="1"/>
    <col min="6" max="6" width="17.5703125" customWidth="1"/>
    <col min="7" max="7" width="15.42578125" style="64" customWidth="1"/>
    <col min="8" max="8" width="25" style="64" customWidth="1"/>
    <col min="9" max="9" width="19.28515625" customWidth="1"/>
    <col min="10" max="10" width="17.85546875" customWidth="1"/>
    <col min="11" max="11" width="16.85546875" customWidth="1"/>
    <col min="12" max="12" width="21" customWidth="1"/>
    <col min="13" max="13" width="18.5703125" customWidth="1"/>
    <col min="14" max="14" width="15.42578125" customWidth="1"/>
    <col min="15" max="15" width="17" customWidth="1"/>
    <col min="16" max="16" width="21.85546875" customWidth="1"/>
    <col min="18" max="18" width="14.140625" customWidth="1"/>
    <col min="21" max="21" width="12.7109375" customWidth="1"/>
    <col min="22" max="22" width="12.85546875" customWidth="1"/>
    <col min="23" max="23" width="12.42578125" customWidth="1"/>
  </cols>
  <sheetData>
    <row r="1" spans="1:24" x14ac:dyDescent="0.25">
      <c r="I1" s="89" t="s">
        <v>49</v>
      </c>
      <c r="J1" s="89"/>
      <c r="K1" s="89"/>
      <c r="L1" s="5"/>
    </row>
    <row r="2" spans="1:24" x14ac:dyDescent="0.25">
      <c r="I2" s="10"/>
      <c r="J2" s="10"/>
      <c r="K2" s="10"/>
      <c r="L2" s="5"/>
    </row>
    <row r="3" spans="1:24" x14ac:dyDescent="0.25">
      <c r="I3" s="10"/>
      <c r="J3" s="10"/>
      <c r="K3" s="10"/>
      <c r="L3" s="5"/>
    </row>
    <row r="4" spans="1:24" x14ac:dyDescent="0.25">
      <c r="I4" s="10"/>
      <c r="J4" s="10"/>
      <c r="K4" s="10"/>
      <c r="L4" s="5"/>
    </row>
    <row r="5" spans="1:24" x14ac:dyDescent="0.25">
      <c r="I5" s="10" t="s">
        <v>38</v>
      </c>
      <c r="J5" s="10"/>
      <c r="K5" s="10"/>
      <c r="L5" s="5"/>
    </row>
    <row r="6" spans="1:24" x14ac:dyDescent="0.25">
      <c r="I6" s="10" t="s">
        <v>55</v>
      </c>
      <c r="J6" s="10"/>
      <c r="K6" s="10"/>
      <c r="L6" s="5"/>
    </row>
    <row r="7" spans="1:24" x14ac:dyDescent="0.25">
      <c r="I7" s="10" t="s">
        <v>39</v>
      </c>
      <c r="J7" s="10"/>
      <c r="K7" s="10"/>
      <c r="L7" s="5"/>
    </row>
    <row r="8" spans="1:24" x14ac:dyDescent="0.25">
      <c r="C8" s="92" t="s">
        <v>25</v>
      </c>
      <c r="D8" s="92"/>
      <c r="E8" s="92"/>
      <c r="I8" s="10" t="s">
        <v>56</v>
      </c>
      <c r="J8" s="10"/>
      <c r="K8" s="10"/>
      <c r="L8" s="5"/>
    </row>
    <row r="9" spans="1:24" x14ac:dyDescent="0.25">
      <c r="A9" s="94" t="s">
        <v>16</v>
      </c>
      <c r="B9" s="94"/>
      <c r="C9" s="94"/>
      <c r="D9" s="65" t="s">
        <v>17</v>
      </c>
      <c r="E9" s="4" t="s">
        <v>18</v>
      </c>
      <c r="F9" s="94" t="s">
        <v>19</v>
      </c>
      <c r="G9" s="94"/>
      <c r="H9" s="26"/>
      <c r="I9" s="6"/>
      <c r="J9" s="6"/>
      <c r="K9" s="6"/>
      <c r="L9" s="6"/>
      <c r="M9" s="6"/>
      <c r="N9" s="6"/>
      <c r="O9" s="6"/>
      <c r="P9" s="5"/>
      <c r="Q9" s="5"/>
      <c r="R9" s="5"/>
      <c r="S9" s="5"/>
      <c r="T9" s="5"/>
      <c r="U9" s="5"/>
      <c r="V9" s="5"/>
      <c r="W9" s="5"/>
      <c r="X9" s="5"/>
    </row>
    <row r="10" spans="1:24" ht="15" customHeight="1" x14ac:dyDescent="0.25">
      <c r="A10" s="98" t="s">
        <v>20</v>
      </c>
      <c r="B10" s="98"/>
      <c r="C10" s="98"/>
      <c r="D10" s="66">
        <v>0.90585000000000004</v>
      </c>
      <c r="E10" s="3">
        <v>0.6</v>
      </c>
      <c r="F10" s="99">
        <v>0.54351000000000005</v>
      </c>
      <c r="G10" s="99"/>
      <c r="H10" s="74" t="s">
        <v>51</v>
      </c>
      <c r="I10" s="40" t="s">
        <v>52</v>
      </c>
      <c r="J10" s="21"/>
      <c r="K10" s="37"/>
      <c r="L10" s="37"/>
      <c r="M10" s="37"/>
      <c r="N10" s="37"/>
      <c r="O10" s="37"/>
      <c r="P10" s="5"/>
      <c r="Q10" s="5"/>
      <c r="R10" s="5"/>
      <c r="S10" s="5"/>
      <c r="T10" s="5"/>
      <c r="X10" s="5"/>
    </row>
    <row r="11" spans="1:24" x14ac:dyDescent="0.25">
      <c r="A11" s="94" t="s">
        <v>21</v>
      </c>
      <c r="B11" s="94"/>
      <c r="C11" s="94"/>
      <c r="D11" s="57">
        <v>5.9000000000000003E-4</v>
      </c>
      <c r="E11" s="3">
        <v>0.7</v>
      </c>
      <c r="F11" s="99">
        <v>4.2000000000000002E-4</v>
      </c>
      <c r="G11" s="99"/>
      <c r="H11" s="56" t="s">
        <v>0</v>
      </c>
      <c r="I11" s="22">
        <v>31</v>
      </c>
      <c r="J11" s="22"/>
      <c r="K11" s="37"/>
      <c r="L11" s="37"/>
      <c r="M11" s="37"/>
      <c r="N11" s="37"/>
      <c r="O11" s="37"/>
      <c r="P11" s="5"/>
      <c r="Q11" s="5"/>
      <c r="R11" s="5"/>
      <c r="S11" s="5"/>
      <c r="T11" s="5"/>
      <c r="U11" s="5"/>
      <c r="V11" s="5"/>
      <c r="W11" s="5"/>
      <c r="X11" s="5"/>
    </row>
    <row r="12" spans="1:24" ht="15" customHeight="1" x14ac:dyDescent="0.25">
      <c r="A12" s="94" t="s">
        <v>22</v>
      </c>
      <c r="B12" s="94"/>
      <c r="C12" s="94"/>
      <c r="D12" s="57">
        <v>1.8429999999999998E-2</v>
      </c>
      <c r="E12" s="3">
        <v>0.9</v>
      </c>
      <c r="F12" s="99">
        <v>1.6580000000000001E-2</v>
      </c>
      <c r="G12" s="99"/>
      <c r="H12" s="56" t="s">
        <v>1</v>
      </c>
      <c r="I12" s="22">
        <v>28</v>
      </c>
      <c r="J12" s="22">
        <v>29</v>
      </c>
      <c r="K12" s="97" t="s">
        <v>53</v>
      </c>
      <c r="L12" s="97"/>
      <c r="M12" s="46"/>
      <c r="N12" s="37"/>
      <c r="O12" s="37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5">
      <c r="A13" s="94" t="s">
        <v>23</v>
      </c>
      <c r="B13" s="94"/>
      <c r="C13" s="94"/>
      <c r="D13" s="57">
        <v>8.1399999999999997E-3</v>
      </c>
      <c r="E13" s="3">
        <v>0.5</v>
      </c>
      <c r="F13" s="99">
        <v>4.0699999999999998E-3</v>
      </c>
      <c r="G13" s="99"/>
      <c r="H13" s="56" t="s">
        <v>2</v>
      </c>
      <c r="I13" s="22">
        <v>31</v>
      </c>
      <c r="J13" s="22"/>
      <c r="K13" s="97"/>
      <c r="L13" s="97"/>
      <c r="M13" s="46" t="s">
        <v>82</v>
      </c>
      <c r="N13" s="37"/>
      <c r="O13" s="37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25">
      <c r="A14" s="94" t="s">
        <v>24</v>
      </c>
      <c r="B14" s="94"/>
      <c r="C14" s="94"/>
      <c r="D14" s="57">
        <v>6.6989999999999994E-2</v>
      </c>
      <c r="E14" s="3">
        <v>0.4</v>
      </c>
      <c r="F14" s="99">
        <v>2.6800000000000001E-2</v>
      </c>
      <c r="G14" s="99"/>
      <c r="H14" s="56" t="s">
        <v>3</v>
      </c>
      <c r="I14" s="22">
        <v>30</v>
      </c>
      <c r="J14" s="22"/>
      <c r="K14" s="37"/>
      <c r="L14" s="37"/>
      <c r="M14" s="104" t="s">
        <v>83</v>
      </c>
      <c r="N14" s="104"/>
      <c r="O14" s="104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25">
      <c r="A15" s="6"/>
      <c r="B15" s="6"/>
      <c r="C15" s="6"/>
      <c r="D15" s="26"/>
      <c r="E15" s="6"/>
      <c r="F15" s="101">
        <f>SUM(F10:G14)</f>
        <v>0.59138000000000013</v>
      </c>
      <c r="G15" s="101"/>
      <c r="H15" s="56" t="s">
        <v>4</v>
      </c>
      <c r="I15" s="22">
        <v>31</v>
      </c>
      <c r="J15" s="22"/>
      <c r="K15" s="20"/>
      <c r="L15" s="20"/>
      <c r="M15" s="96" t="s">
        <v>84</v>
      </c>
      <c r="N15" s="96"/>
      <c r="O15" s="96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5">
      <c r="A16" s="5"/>
      <c r="B16" s="5"/>
      <c r="C16" s="93" t="s">
        <v>34</v>
      </c>
      <c r="D16" s="93"/>
      <c r="E16" s="93"/>
      <c r="F16" s="5"/>
      <c r="G16" s="28"/>
      <c r="H16" s="56" t="s">
        <v>5</v>
      </c>
      <c r="I16" s="22">
        <v>30</v>
      </c>
      <c r="J16" s="22"/>
      <c r="K16" s="5"/>
      <c r="L16" s="5"/>
      <c r="M16" s="5" t="s">
        <v>85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6" x14ac:dyDescent="0.25">
      <c r="A17" s="7" t="s">
        <v>26</v>
      </c>
      <c r="B17" s="7"/>
      <c r="C17" s="7"/>
      <c r="D17" s="67" t="s">
        <v>17</v>
      </c>
      <c r="E17" s="7" t="s">
        <v>27</v>
      </c>
      <c r="F17" s="7" t="s">
        <v>19</v>
      </c>
      <c r="G17" s="67"/>
      <c r="H17" s="56" t="s">
        <v>6</v>
      </c>
      <c r="I17" s="22">
        <v>31</v>
      </c>
      <c r="J17" s="22"/>
      <c r="K17" s="38"/>
      <c r="L17" s="38"/>
      <c r="M17" s="38" t="s">
        <v>86</v>
      </c>
      <c r="N17" s="38"/>
      <c r="O17" s="38"/>
      <c r="P17" s="5"/>
      <c r="Q17" s="5"/>
      <c r="R17" s="5"/>
      <c r="S17" s="5"/>
      <c r="T17" s="5"/>
      <c r="U17" s="5"/>
      <c r="V17" s="5"/>
      <c r="W17" s="5"/>
      <c r="X17" s="5"/>
    </row>
    <row r="18" spans="1:26" x14ac:dyDescent="0.25">
      <c r="A18" s="94" t="s">
        <v>28</v>
      </c>
      <c r="B18" s="94"/>
      <c r="C18" s="94"/>
      <c r="D18" s="68">
        <v>8.0000000000000007E-5</v>
      </c>
      <c r="E18" s="9">
        <v>0.3</v>
      </c>
      <c r="F18" s="99">
        <v>2.0000000000000002E-5</v>
      </c>
      <c r="G18" s="99"/>
      <c r="H18" s="56" t="s">
        <v>7</v>
      </c>
      <c r="I18" s="22">
        <v>31</v>
      </c>
      <c r="J18" s="22"/>
      <c r="K18" s="37"/>
      <c r="L18" s="37"/>
      <c r="M18" s="37"/>
      <c r="N18" s="37"/>
      <c r="O18" s="37"/>
      <c r="P18" s="5"/>
      <c r="Q18" s="5"/>
      <c r="R18" s="5"/>
      <c r="S18" s="5"/>
      <c r="T18" s="5"/>
      <c r="U18" s="5"/>
      <c r="V18" s="5"/>
      <c r="W18" s="5"/>
      <c r="X18" s="5"/>
    </row>
    <row r="19" spans="1:26" x14ac:dyDescent="0.25">
      <c r="A19" s="94" t="s">
        <v>29</v>
      </c>
      <c r="B19" s="94"/>
      <c r="C19" s="94"/>
      <c r="D19" s="68">
        <v>0.32050000000000001</v>
      </c>
      <c r="E19" s="9">
        <v>0.4</v>
      </c>
      <c r="F19" s="102">
        <v>0.12820000000000001</v>
      </c>
      <c r="G19" s="103"/>
      <c r="H19" s="56" t="s">
        <v>8</v>
      </c>
      <c r="I19" s="22">
        <v>30</v>
      </c>
      <c r="J19" s="22"/>
      <c r="K19" s="37"/>
      <c r="L19" s="37"/>
      <c r="M19" s="37"/>
      <c r="N19" s="37"/>
      <c r="O19" s="37"/>
      <c r="P19" s="5"/>
      <c r="Q19" s="5"/>
      <c r="R19" s="5"/>
      <c r="S19" s="5"/>
      <c r="T19" s="5"/>
      <c r="U19" s="5"/>
      <c r="V19" s="5"/>
      <c r="W19" s="5"/>
      <c r="X19" s="5"/>
    </row>
    <row r="20" spans="1:26" x14ac:dyDescent="0.25">
      <c r="A20" s="94" t="s">
        <v>30</v>
      </c>
      <c r="B20" s="94"/>
      <c r="C20" s="94"/>
      <c r="D20" s="68">
        <v>0.23588999999999999</v>
      </c>
      <c r="E20" s="9">
        <v>0.5</v>
      </c>
      <c r="F20" s="102">
        <v>0.11794</v>
      </c>
      <c r="G20" s="103"/>
      <c r="H20" s="56" t="s">
        <v>9</v>
      </c>
      <c r="I20" s="22">
        <v>31</v>
      </c>
      <c r="J20" s="22"/>
      <c r="K20" s="37"/>
      <c r="L20" s="37"/>
      <c r="M20" s="37"/>
      <c r="N20" s="37"/>
      <c r="O20" s="37"/>
      <c r="P20" s="5"/>
      <c r="Q20" s="5"/>
      <c r="R20" s="5"/>
      <c r="S20" s="5"/>
      <c r="T20" s="5"/>
      <c r="U20" s="5"/>
      <c r="V20" s="5"/>
      <c r="W20" s="5"/>
      <c r="X20" s="5"/>
    </row>
    <row r="21" spans="1:26" ht="18.75" x14ac:dyDescent="0.3">
      <c r="A21" s="94" t="s">
        <v>31</v>
      </c>
      <c r="B21" s="94"/>
      <c r="C21" s="94"/>
      <c r="D21" s="68">
        <v>0.42702000000000001</v>
      </c>
      <c r="E21" s="9">
        <v>0.6</v>
      </c>
      <c r="F21" s="102">
        <v>0.25620999999999999</v>
      </c>
      <c r="G21" s="103"/>
      <c r="H21" s="56" t="s">
        <v>10</v>
      </c>
      <c r="I21" s="22">
        <v>30</v>
      </c>
      <c r="J21" s="22"/>
      <c r="K21" s="37"/>
      <c r="L21" s="37"/>
      <c r="N21" s="41"/>
      <c r="O21" s="37"/>
      <c r="P21" s="5"/>
      <c r="Q21" s="5"/>
      <c r="R21" s="5"/>
      <c r="S21" s="5"/>
      <c r="T21" s="5"/>
      <c r="U21" s="5"/>
      <c r="V21" s="5"/>
      <c r="W21" s="5"/>
      <c r="X21" s="5"/>
    </row>
    <row r="22" spans="1:26" x14ac:dyDescent="0.25">
      <c r="A22" s="94" t="s">
        <v>32</v>
      </c>
      <c r="B22" s="94"/>
      <c r="C22" s="94"/>
      <c r="D22" s="68">
        <v>9.2899999999999996E-3</v>
      </c>
      <c r="E22" s="9">
        <v>0.8</v>
      </c>
      <c r="F22" s="102">
        <v>7.43E-3</v>
      </c>
      <c r="G22" s="103"/>
      <c r="H22" s="56" t="s">
        <v>11</v>
      </c>
      <c r="I22" s="22">
        <v>31</v>
      </c>
      <c r="J22" s="22"/>
      <c r="K22" s="37"/>
      <c r="M22" s="37"/>
      <c r="N22" s="37"/>
      <c r="O22" s="37"/>
      <c r="P22" s="5"/>
      <c r="Q22" s="5"/>
      <c r="R22" s="5"/>
      <c r="S22" s="5"/>
      <c r="T22" s="5"/>
      <c r="U22" s="5"/>
      <c r="V22" s="5"/>
      <c r="W22" s="5"/>
      <c r="X22" s="5"/>
    </row>
    <row r="23" spans="1:26" ht="18.75" x14ac:dyDescent="0.3">
      <c r="A23" s="94" t="s">
        <v>33</v>
      </c>
      <c r="B23" s="94"/>
      <c r="C23" s="94"/>
      <c r="D23" s="68">
        <v>7.2100000000000003E-3</v>
      </c>
      <c r="E23" s="9">
        <v>0.7</v>
      </c>
      <c r="F23" s="102">
        <v>5.0499999999999998E-3</v>
      </c>
      <c r="G23" s="103"/>
      <c r="H23" s="75"/>
      <c r="I23" s="37"/>
      <c r="J23" s="37"/>
      <c r="K23" s="37"/>
      <c r="M23" s="91" t="s">
        <v>64</v>
      </c>
      <c r="N23" s="91"/>
      <c r="O23" s="37"/>
      <c r="R23" s="5"/>
      <c r="S23" s="5"/>
      <c r="T23" s="5"/>
      <c r="U23" s="5"/>
      <c r="V23" s="5"/>
      <c r="W23" s="5"/>
      <c r="X23" s="5"/>
    </row>
    <row r="24" spans="1:26" ht="18.75" x14ac:dyDescent="0.3">
      <c r="A24" s="6"/>
      <c r="B24" s="6"/>
      <c r="C24" s="6"/>
      <c r="D24" s="62"/>
      <c r="E24" s="13"/>
      <c r="F24" s="100">
        <f>SUM(F18:G23)</f>
        <v>0.51485000000000003</v>
      </c>
      <c r="G24" s="100"/>
      <c r="H24" s="73"/>
      <c r="I24" s="44" t="s">
        <v>71</v>
      </c>
      <c r="J24" s="44"/>
      <c r="K24" s="44"/>
      <c r="M24" s="91" t="s">
        <v>65</v>
      </c>
      <c r="N24" s="91"/>
      <c r="O24" s="20"/>
      <c r="R24" s="5"/>
      <c r="S24" s="5"/>
      <c r="T24" s="5"/>
      <c r="U24" s="5"/>
      <c r="V24" s="5"/>
      <c r="W24" s="5"/>
      <c r="X24" s="5"/>
    </row>
    <row r="25" spans="1:26" x14ac:dyDescent="0.25">
      <c r="A25" s="6"/>
      <c r="B25" s="6"/>
      <c r="C25" s="6"/>
      <c r="D25" s="62"/>
      <c r="E25" s="13"/>
      <c r="F25" s="20"/>
      <c r="G25" s="73"/>
      <c r="H25" s="73"/>
      <c r="I25" s="20"/>
      <c r="J25" s="20"/>
      <c r="K25" s="20"/>
      <c r="L25" s="20"/>
      <c r="M25" s="20"/>
      <c r="O25" s="20"/>
      <c r="S25" s="5"/>
      <c r="T25" s="5"/>
      <c r="U25" s="5"/>
      <c r="V25" s="5"/>
      <c r="W25" s="5"/>
      <c r="X25" s="5"/>
    </row>
    <row r="26" spans="1:26" ht="18.75" x14ac:dyDescent="0.3">
      <c r="B26" s="17" t="s">
        <v>54</v>
      </c>
      <c r="C26" s="19" t="s">
        <v>47</v>
      </c>
      <c r="D26" s="77" t="s">
        <v>88</v>
      </c>
      <c r="E26" s="78" t="s">
        <v>89</v>
      </c>
      <c r="F26" s="79" t="s">
        <v>90</v>
      </c>
      <c r="G26" s="43" t="s">
        <v>50</v>
      </c>
      <c r="H26" s="48" t="s">
        <v>87</v>
      </c>
      <c r="I26" s="49" t="s">
        <v>91</v>
      </c>
      <c r="J26" s="27"/>
      <c r="M26" s="35" t="s">
        <v>63</v>
      </c>
      <c r="N26" s="27"/>
      <c r="O26" t="s">
        <v>81</v>
      </c>
      <c r="R26" s="5"/>
      <c r="S26" s="5"/>
      <c r="T26" s="5"/>
      <c r="U26" s="5"/>
      <c r="V26" s="5"/>
      <c r="W26" s="5"/>
    </row>
    <row r="27" spans="1:26" x14ac:dyDescent="0.25">
      <c r="A27" s="8" t="s">
        <v>12</v>
      </c>
      <c r="B27" s="12">
        <v>1976</v>
      </c>
      <c r="C27" s="12">
        <v>1976</v>
      </c>
      <c r="D27" s="69">
        <v>1976</v>
      </c>
      <c r="E27" s="12">
        <v>1976</v>
      </c>
      <c r="F27" s="12">
        <v>1976</v>
      </c>
      <c r="G27" s="69">
        <v>1976</v>
      </c>
      <c r="H27" s="69">
        <v>1976</v>
      </c>
      <c r="I27" s="12">
        <v>1976</v>
      </c>
      <c r="J27" s="47" t="s">
        <v>70</v>
      </c>
      <c r="K27" s="49" t="s">
        <v>61</v>
      </c>
      <c r="L27" s="49" t="s">
        <v>62</v>
      </c>
      <c r="M27" s="39" t="s">
        <v>60</v>
      </c>
      <c r="N27" s="39" t="s">
        <v>73</v>
      </c>
      <c r="O27" s="105" t="s">
        <v>57</v>
      </c>
      <c r="P27" s="105"/>
      <c r="Q27" s="90" t="s">
        <v>76</v>
      </c>
      <c r="R27" s="90"/>
      <c r="T27" s="8"/>
      <c r="U27" s="8"/>
      <c r="V27" s="5"/>
      <c r="W27" s="5"/>
      <c r="X27" s="5"/>
      <c r="Y27" s="5"/>
      <c r="Z27" s="5"/>
    </row>
    <row r="28" spans="1:26" ht="15" customHeight="1" x14ac:dyDescent="0.25">
      <c r="A28" s="22" t="s">
        <v>0</v>
      </c>
      <c r="B28" s="10">
        <v>53.1</v>
      </c>
      <c r="C28" s="95" t="s">
        <v>80</v>
      </c>
      <c r="D28" s="56">
        <v>0</v>
      </c>
      <c r="E28" s="95" t="s">
        <v>80</v>
      </c>
      <c r="F28" s="95" t="s">
        <v>79</v>
      </c>
      <c r="G28" s="74">
        <f>(5.01*(B28^0.59)*$Z$45)/(86.4*I$11)</f>
        <v>67.989077934852219</v>
      </c>
      <c r="H28" s="74">
        <f t="shared" ref="H28:H39" si="0">L$30^(J28-(0.6458446*LN(P$34))-(9.53942*N28*(P$34/P$33))+(4.8904*N28))</f>
        <v>96.946630438333216</v>
      </c>
      <c r="I28" s="42">
        <f t="shared" ref="I28:I39" si="1">L$30^(K$28-(0.6458446*LN(P$34))-(9.53942*N28*(P$34/P$33))+(4.8904*N28))</f>
        <v>0.88175646791234685</v>
      </c>
      <c r="J28" s="32">
        <v>4.7</v>
      </c>
      <c r="K28" s="22">
        <f>(10^-8)*((P35/P34)^-7.2474)</f>
        <v>8.8839224002565862E-15</v>
      </c>
      <c r="L28" s="22">
        <f>(-3.2951*(P34/P33))+5.33</f>
        <v>3.0487769230769231</v>
      </c>
      <c r="M28" s="22">
        <f t="shared" ref="M28:M39" si="2">(B28-(0.74*P$29))</f>
        <v>24.481919307097922</v>
      </c>
      <c r="N28" s="10">
        <f t="shared" ref="N28:N39" si="3">M28/Q28</f>
        <v>0.37434127380883669</v>
      </c>
      <c r="O28" s="50" t="s">
        <v>58</v>
      </c>
      <c r="P28" s="22">
        <f>(B28+B29+B30+B31+B32+B33+B34+B35+B36+B37+B38+B39)/12</f>
        <v>63.199999999999996</v>
      </c>
      <c r="Q28" s="89">
        <v>65.400000000000006</v>
      </c>
      <c r="R28" s="89"/>
    </row>
    <row r="29" spans="1:26" ht="15" customHeight="1" x14ac:dyDescent="0.25">
      <c r="A29" s="22" t="s">
        <v>1</v>
      </c>
      <c r="B29" s="10">
        <v>59.1</v>
      </c>
      <c r="C29" s="95"/>
      <c r="D29" s="56">
        <v>0</v>
      </c>
      <c r="E29" s="95"/>
      <c r="F29" s="95"/>
      <c r="G29" s="74">
        <f>(5.01*(B29^0.59)*$Z$45)/(86.4*J$12)</f>
        <v>77.41652862359318</v>
      </c>
      <c r="H29" s="74">
        <f t="shared" si="0"/>
        <v>76.533079105731304</v>
      </c>
      <c r="I29" s="42">
        <f t="shared" si="1"/>
        <v>0.69608956191263849</v>
      </c>
      <c r="J29" s="32">
        <v>4.7</v>
      </c>
      <c r="K29" s="22"/>
      <c r="L29" s="22"/>
      <c r="M29" s="22">
        <f t="shared" si="2"/>
        <v>30.481919307097922</v>
      </c>
      <c r="N29" s="10">
        <f t="shared" si="3"/>
        <v>0.51230116482517518</v>
      </c>
      <c r="O29" s="50" t="s">
        <v>66</v>
      </c>
      <c r="P29" s="22">
        <f>((((B28-P28)^2+(B29-P28)^2+(B30-P28)^2+(B31-P28)^2+(B32-P28)^2+(B33-P28)^2+(B34-P28)^2+(B35-P28)^2+(B36-P28)^2+(B37-P28)^2+(B38-P28)^2+(B39-P28)^2))/(12-1))^0.5</f>
        <v>38.673082017435242</v>
      </c>
      <c r="Q29" s="89">
        <v>59.5</v>
      </c>
      <c r="R29" s="89"/>
    </row>
    <row r="30" spans="1:26" ht="14.25" customHeight="1" x14ac:dyDescent="0.25">
      <c r="A30" s="22" t="s">
        <v>2</v>
      </c>
      <c r="B30" s="10">
        <v>108.3</v>
      </c>
      <c r="C30" s="95"/>
      <c r="D30" s="70">
        <v>6448</v>
      </c>
      <c r="E30" s="95"/>
      <c r="F30" s="95"/>
      <c r="G30" s="74">
        <f>(5.01*(B30^0.59)*$Z$45)/(86.4*I$13)</f>
        <v>103.52951352301768</v>
      </c>
      <c r="H30" s="74">
        <f t="shared" si="0"/>
        <v>13.72905801949797</v>
      </c>
      <c r="I30" s="42">
        <f t="shared" si="1"/>
        <v>0.12486958703259418</v>
      </c>
      <c r="J30" s="32">
        <v>4.7</v>
      </c>
      <c r="K30" s="22" t="s">
        <v>72</v>
      </c>
      <c r="L30" s="10">
        <f>EXP(1)</f>
        <v>2.7182818284590451</v>
      </c>
      <c r="M30" s="22">
        <f t="shared" si="2"/>
        <v>79.681919307097914</v>
      </c>
      <c r="N30" s="10">
        <f t="shared" si="3"/>
        <v>1.5148653860665002</v>
      </c>
      <c r="O30" s="22"/>
      <c r="P30" s="22"/>
      <c r="Q30" s="89">
        <v>52.6</v>
      </c>
      <c r="R30" s="89"/>
    </row>
    <row r="31" spans="1:26" x14ac:dyDescent="0.25">
      <c r="A31" s="22" t="s">
        <v>3</v>
      </c>
      <c r="B31" s="10">
        <v>99.9</v>
      </c>
      <c r="C31" s="95"/>
      <c r="D31" s="70">
        <v>6581</v>
      </c>
      <c r="E31" s="95"/>
      <c r="F31" s="95"/>
      <c r="G31" s="74">
        <f>(5.01*(B31^0.59)*$Z$45)/(86.4*I$14)</f>
        <v>102.00406070889272</v>
      </c>
      <c r="H31" s="74">
        <f t="shared" si="0"/>
        <v>28.601429420925619</v>
      </c>
      <c r="I31" s="42">
        <f t="shared" si="1"/>
        <v>0.26013792608791608</v>
      </c>
      <c r="J31" s="32">
        <v>4.7</v>
      </c>
      <c r="K31" s="22"/>
      <c r="L31" s="22"/>
      <c r="M31" s="22">
        <f t="shared" si="2"/>
        <v>71.281919307097922</v>
      </c>
      <c r="N31" s="10">
        <f t="shared" si="3"/>
        <v>1.0866146235838099</v>
      </c>
      <c r="O31" s="22"/>
      <c r="P31" s="22"/>
      <c r="Q31" s="89">
        <v>65.599999999999994</v>
      </c>
      <c r="R31" s="89"/>
    </row>
    <row r="32" spans="1:26" x14ac:dyDescent="0.25">
      <c r="A32" s="22" t="s">
        <v>4</v>
      </c>
      <c r="B32" s="10">
        <v>89</v>
      </c>
      <c r="C32" s="95"/>
      <c r="D32" s="70">
        <v>6111</v>
      </c>
      <c r="E32" s="95"/>
      <c r="F32" s="95"/>
      <c r="G32" s="74">
        <f>(5.01*(B32^0.59)*$Z$45)/(86.4*I$15)</f>
        <v>92.209037295289534</v>
      </c>
      <c r="H32" s="74">
        <f t="shared" si="0"/>
        <v>37.014826928040179</v>
      </c>
      <c r="I32" s="42">
        <f t="shared" si="1"/>
        <v>0.33666010778184047</v>
      </c>
      <c r="J32" s="32">
        <v>4.7</v>
      </c>
      <c r="K32" s="22" t="s">
        <v>77</v>
      </c>
      <c r="L32" s="22">
        <v>86400</v>
      </c>
      <c r="M32" s="22">
        <f t="shared" si="2"/>
        <v>60.381919307097917</v>
      </c>
      <c r="N32" s="10">
        <f t="shared" si="3"/>
        <v>0.93615378770694446</v>
      </c>
      <c r="O32" s="22"/>
      <c r="P32" s="22"/>
      <c r="Q32" s="89">
        <v>64.5</v>
      </c>
      <c r="R32" s="89"/>
    </row>
    <row r="33" spans="1:30" x14ac:dyDescent="0.25">
      <c r="A33" s="22" t="s">
        <v>5</v>
      </c>
      <c r="B33" s="10">
        <v>34.5</v>
      </c>
      <c r="C33" s="95"/>
      <c r="D33" s="70">
        <v>3754</v>
      </c>
      <c r="E33" s="95"/>
      <c r="F33" s="95"/>
      <c r="G33" s="74">
        <f>(5.01*(B33^0.59)*$Z$45)/(86.4*I$16)</f>
        <v>54.473726889376131</v>
      </c>
      <c r="H33" s="74">
        <f t="shared" si="0"/>
        <v>69.623372984896079</v>
      </c>
      <c r="I33" s="42">
        <f t="shared" si="1"/>
        <v>1.4093101505184888</v>
      </c>
      <c r="J33" s="32">
        <v>3.9</v>
      </c>
      <c r="K33" s="22" t="s">
        <v>78</v>
      </c>
      <c r="L33" s="22">
        <f>L32*15</f>
        <v>1296000</v>
      </c>
      <c r="M33" s="22">
        <f t="shared" si="2"/>
        <v>5.8819193070979203</v>
      </c>
      <c r="N33" s="10">
        <f t="shared" si="3"/>
        <v>0.10071779635441645</v>
      </c>
      <c r="O33" s="51" t="s">
        <v>67</v>
      </c>
      <c r="P33" s="22">
        <v>0.65</v>
      </c>
      <c r="Q33" s="89">
        <v>58.4</v>
      </c>
      <c r="R33" s="89"/>
    </row>
    <row r="34" spans="1:30" x14ac:dyDescent="0.25">
      <c r="A34" s="22" t="s">
        <v>6</v>
      </c>
      <c r="B34" s="10">
        <v>1.5</v>
      </c>
      <c r="C34" s="95"/>
      <c r="D34" s="70">
        <v>1158</v>
      </c>
      <c r="E34" s="95"/>
      <c r="F34" s="95"/>
      <c r="G34" s="74">
        <f>(5.01*(B34^0.59)*$Z$45)/(86.4*I$17)</f>
        <v>8.2894788293952288</v>
      </c>
      <c r="H34" s="74">
        <f t="shared" si="0"/>
        <v>41.604896542929758</v>
      </c>
      <c r="I34" s="42">
        <f t="shared" si="1"/>
        <v>3.7743110611923774</v>
      </c>
      <c r="J34" s="32">
        <v>2.4</v>
      </c>
      <c r="K34" s="22"/>
      <c r="L34" s="22"/>
      <c r="M34" s="22">
        <f t="shared" si="2"/>
        <v>-27.11808069290208</v>
      </c>
      <c r="N34" s="10">
        <f t="shared" si="3"/>
        <v>-0.47409231980598038</v>
      </c>
      <c r="O34" s="51" t="s">
        <v>68</v>
      </c>
      <c r="P34" s="22">
        <v>0.45</v>
      </c>
      <c r="Q34" s="89">
        <v>57.2</v>
      </c>
      <c r="R34" s="89"/>
    </row>
    <row r="35" spans="1:30" ht="45" x14ac:dyDescent="0.25">
      <c r="A35" s="22" t="s">
        <v>7</v>
      </c>
      <c r="B35" s="10">
        <v>2.5</v>
      </c>
      <c r="C35" s="95"/>
      <c r="D35" s="58">
        <v>0.46200000000000002</v>
      </c>
      <c r="E35" s="95"/>
      <c r="F35" s="95"/>
      <c r="G35" s="74">
        <f>(5.01*(B35^0.59)*$Z$45)/(86.4*I$18)</f>
        <v>11.205158109907218</v>
      </c>
      <c r="H35" s="74">
        <f t="shared" si="0"/>
        <v>11.095632991782992</v>
      </c>
      <c r="I35" s="42">
        <f t="shared" si="1"/>
        <v>3.6934153782910029</v>
      </c>
      <c r="J35" s="32">
        <v>1.1000000000000001</v>
      </c>
      <c r="K35" s="22"/>
      <c r="L35" s="22"/>
      <c r="M35" s="22">
        <f t="shared" si="2"/>
        <v>-26.11808069290208</v>
      </c>
      <c r="N35" s="10">
        <f t="shared" si="3"/>
        <v>-0.46145018892053141</v>
      </c>
      <c r="O35" s="52" t="s">
        <v>69</v>
      </c>
      <c r="P35" s="22">
        <f>-1+(EXP(1)*(0.5*P36))</f>
        <v>3.0774227426885679</v>
      </c>
      <c r="Q35" s="89">
        <v>56.6</v>
      </c>
      <c r="R35" s="89"/>
    </row>
    <row r="36" spans="1:30" x14ac:dyDescent="0.25">
      <c r="A36" s="22" t="s">
        <v>8</v>
      </c>
      <c r="B36" s="10">
        <v>29.6</v>
      </c>
      <c r="C36" s="95"/>
      <c r="D36" s="58">
        <v>2.21</v>
      </c>
      <c r="E36" s="95"/>
      <c r="F36" s="95"/>
      <c r="G36" s="74">
        <f>(5.01*(B36^0.59)*$Z$45)/(86.4*I$19)</f>
        <v>49.766366382216987</v>
      </c>
      <c r="H36" s="74">
        <f t="shared" si="0"/>
        <v>4.8801236640286758</v>
      </c>
      <c r="I36" s="42">
        <f t="shared" si="1"/>
        <v>1.6244520526258825</v>
      </c>
      <c r="J36" s="32">
        <v>1.1000000000000001</v>
      </c>
      <c r="K36" s="22"/>
      <c r="L36" s="22"/>
      <c r="M36" s="22">
        <f t="shared" si="2"/>
        <v>0.98191930709792175</v>
      </c>
      <c r="N36" s="10">
        <f t="shared" si="3"/>
        <v>1.782067707981709E-2</v>
      </c>
      <c r="O36" s="51" t="s">
        <v>74</v>
      </c>
      <c r="P36" s="22">
        <v>3</v>
      </c>
      <c r="Q36" s="89">
        <v>55.1</v>
      </c>
      <c r="R36" s="89"/>
    </row>
    <row r="37" spans="1:30" ht="18.75" x14ac:dyDescent="0.3">
      <c r="A37" s="22" t="s">
        <v>9</v>
      </c>
      <c r="B37" s="10">
        <v>87.4</v>
      </c>
      <c r="C37" s="95"/>
      <c r="D37" s="58">
        <v>5.26</v>
      </c>
      <c r="E37" s="95"/>
      <c r="F37" s="95"/>
      <c r="G37" s="74">
        <f>(5.01*(B37^0.59)*$Z$45)/(86.4*I$20)</f>
        <v>91.227364623875374</v>
      </c>
      <c r="H37" s="74">
        <f t="shared" si="0"/>
        <v>3.2796323050280503</v>
      </c>
      <c r="I37" s="42">
        <f t="shared" si="1"/>
        <v>0.29752153025398564</v>
      </c>
      <c r="J37" s="32">
        <v>2.4</v>
      </c>
      <c r="K37" s="22"/>
      <c r="L37" s="22"/>
      <c r="M37" s="22">
        <f t="shared" si="2"/>
        <v>58.781919307097922</v>
      </c>
      <c r="N37" s="10">
        <f t="shared" si="3"/>
        <v>1.0082661973773228</v>
      </c>
      <c r="O37" s="45" t="s">
        <v>75</v>
      </c>
      <c r="P37" s="10"/>
      <c r="Q37" s="89">
        <v>58.3</v>
      </c>
      <c r="R37" s="89"/>
    </row>
    <row r="38" spans="1:30" x14ac:dyDescent="0.25">
      <c r="A38" s="22" t="s">
        <v>10</v>
      </c>
      <c r="B38" s="10">
        <v>98.4</v>
      </c>
      <c r="C38" s="95"/>
      <c r="D38" s="70">
        <v>6294</v>
      </c>
      <c r="E38" s="95"/>
      <c r="F38" s="95"/>
      <c r="G38" s="74">
        <f>(5.01*(B38^0.59)*$Z$45)/(86.4*I$21)</f>
        <v>101.09761985044173</v>
      </c>
      <c r="H38" s="74">
        <f t="shared" si="0"/>
        <v>10.974299702868322</v>
      </c>
      <c r="I38" s="42">
        <f t="shared" si="1"/>
        <v>0.22214080276518006</v>
      </c>
      <c r="J38" s="32">
        <v>3.9</v>
      </c>
      <c r="K38" s="22"/>
      <c r="L38" s="22"/>
      <c r="M38" s="22">
        <f t="shared" si="2"/>
        <v>69.781919307097922</v>
      </c>
      <c r="N38" s="10">
        <f t="shared" si="3"/>
        <v>1.1787486369442217</v>
      </c>
      <c r="O38" s="10"/>
      <c r="P38" s="22"/>
      <c r="Q38" s="89">
        <v>59.2</v>
      </c>
      <c r="R38" s="89"/>
    </row>
    <row r="39" spans="1:30" x14ac:dyDescent="0.25">
      <c r="A39" s="22" t="s">
        <v>11</v>
      </c>
      <c r="B39" s="10">
        <v>95.1</v>
      </c>
      <c r="C39" s="95"/>
      <c r="D39" s="70">
        <v>6351</v>
      </c>
      <c r="E39" s="95"/>
      <c r="F39" s="95"/>
      <c r="G39" s="74">
        <f>(5.01*(B39^0.59)*$Z$45)/(86.4*I$22)</f>
        <v>95.887034827283685</v>
      </c>
      <c r="H39" s="74">
        <f t="shared" si="0"/>
        <v>13.755220675760118</v>
      </c>
      <c r="I39" s="42">
        <f t="shared" si="1"/>
        <v>0.27843195883623656</v>
      </c>
      <c r="J39" s="32">
        <v>3.9</v>
      </c>
      <c r="K39" s="22"/>
      <c r="L39" s="22"/>
      <c r="M39" s="22">
        <f t="shared" si="2"/>
        <v>66.481919307097911</v>
      </c>
      <c r="N39" s="10">
        <f t="shared" si="3"/>
        <v>1.0469593591668962</v>
      </c>
      <c r="O39" s="22"/>
      <c r="P39" s="22"/>
      <c r="Q39" s="89">
        <v>63.5</v>
      </c>
      <c r="R39" s="89"/>
      <c r="S39" s="89" t="s">
        <v>37</v>
      </c>
      <c r="T39" s="89"/>
      <c r="U39" s="89"/>
      <c r="V39" s="8"/>
      <c r="W39" s="5"/>
      <c r="X39" s="5"/>
      <c r="Y39" s="5"/>
      <c r="Z39" s="5"/>
      <c r="AA39" s="5"/>
    </row>
    <row r="40" spans="1:30" x14ac:dyDescent="0.25">
      <c r="A40" s="22" t="s">
        <v>12</v>
      </c>
      <c r="B40" s="32">
        <v>1977</v>
      </c>
      <c r="C40" s="32">
        <v>1977</v>
      </c>
      <c r="D40" s="71">
        <v>1977</v>
      </c>
      <c r="E40" s="32">
        <v>1977</v>
      </c>
      <c r="F40" s="32">
        <v>1977</v>
      </c>
      <c r="G40" s="71">
        <v>1977</v>
      </c>
      <c r="H40" s="71">
        <v>1977</v>
      </c>
      <c r="I40" s="32">
        <v>1977</v>
      </c>
      <c r="J40" s="47" t="s">
        <v>70</v>
      </c>
      <c r="K40" s="49" t="s">
        <v>61</v>
      </c>
      <c r="L40" s="49" t="s">
        <v>62</v>
      </c>
      <c r="M40" s="39" t="s">
        <v>60</v>
      </c>
      <c r="N40" s="39" t="s">
        <v>73</v>
      </c>
      <c r="O40" s="105" t="s">
        <v>57</v>
      </c>
      <c r="P40" s="105"/>
      <c r="Q40" s="89" t="s">
        <v>46</v>
      </c>
      <c r="R40" s="89"/>
      <c r="S40" s="10"/>
      <c r="T40" s="10"/>
      <c r="U40" s="10"/>
      <c r="V40" s="5"/>
      <c r="W40" s="5"/>
      <c r="X40" s="5"/>
      <c r="Y40" s="5"/>
      <c r="Z40" s="5"/>
      <c r="AA40" s="5"/>
      <c r="AC40" s="106"/>
      <c r="AD40" s="106"/>
    </row>
    <row r="41" spans="1:30" ht="15" customHeight="1" x14ac:dyDescent="0.25">
      <c r="A41" s="22" t="s">
        <v>0</v>
      </c>
      <c r="B41" s="10">
        <v>54.2</v>
      </c>
      <c r="C41" s="95" t="s">
        <v>80</v>
      </c>
      <c r="D41" s="70">
        <v>4633</v>
      </c>
      <c r="E41" s="95" t="s">
        <v>80</v>
      </c>
      <c r="F41" s="95" t="s">
        <v>79</v>
      </c>
      <c r="G41" s="74">
        <f>(5.01*(B41^0.59)*$Z$45)/(86.4*I$11)</f>
        <v>68.816560573683148</v>
      </c>
      <c r="H41" s="74">
        <f t="shared" ref="H41:H52" si="4">L$30^(J41-(0.6458446*LN(P$34))-(9.53942*N41*(P$34/P$33))+(4.8904*N41))</f>
        <v>103.00429334816894</v>
      </c>
      <c r="I41" s="42">
        <f t="shared" ref="I41:I52" si="5">L$30^(K$28-(0.6458446*LN(P$34))-(9.53942*N41*(P$34/P$33))+(4.8904*N41))</f>
        <v>0.93685259066596838</v>
      </c>
      <c r="J41" s="32">
        <v>4.7</v>
      </c>
      <c r="K41" s="22">
        <f>(10^-8)*((P48/P47)^-7.2474)</f>
        <v>8.8839224002565862E-15</v>
      </c>
      <c r="L41" s="22">
        <f>(-3.2951*(P47/P46))+5.33</f>
        <v>3.0487769230769231</v>
      </c>
      <c r="M41" s="22">
        <f>(B41-(0.74*P$42))</f>
        <v>22.169009449653863</v>
      </c>
      <c r="N41" s="10">
        <f t="shared" ref="N41:N52" si="6">M41/Q41</f>
        <v>0.33897567965831593</v>
      </c>
      <c r="O41" s="22" t="s">
        <v>58</v>
      </c>
      <c r="P41" s="22">
        <f>(B41+B42+B43+B44+B45+B46+B47+B48+B49+B50+B51+B52)/12</f>
        <v>64.399999999999991</v>
      </c>
      <c r="Q41" s="89">
        <v>65.400000000000006</v>
      </c>
      <c r="R41" s="89"/>
      <c r="S41" s="10"/>
      <c r="T41" s="10"/>
      <c r="U41" s="10"/>
      <c r="V41" s="5"/>
      <c r="W41" s="5"/>
      <c r="X41" s="5"/>
      <c r="Y41" s="5"/>
      <c r="Z41" s="5"/>
      <c r="AA41" s="5"/>
      <c r="AC41" s="90"/>
      <c r="AD41" s="90"/>
    </row>
    <row r="42" spans="1:30" x14ac:dyDescent="0.25">
      <c r="A42" s="22" t="s">
        <v>1</v>
      </c>
      <c r="B42" s="10">
        <v>30.5</v>
      </c>
      <c r="C42" s="95"/>
      <c r="D42" s="70">
        <v>3099</v>
      </c>
      <c r="E42" s="95"/>
      <c r="F42" s="95"/>
      <c r="G42" s="74">
        <f>(5.01*(B42^0.59)*$Z$45)/(86.4*I$12)</f>
        <v>54.271765734146356</v>
      </c>
      <c r="H42" s="74">
        <f t="shared" si="4"/>
        <v>192.44490673228935</v>
      </c>
      <c r="I42" s="42">
        <f t="shared" si="5"/>
        <v>1.7503397535401941</v>
      </c>
      <c r="J42" s="32">
        <v>4.7</v>
      </c>
      <c r="K42" s="22"/>
      <c r="L42" s="22"/>
      <c r="M42" s="22">
        <f t="shared" ref="M42:M52" si="7">(B42-(0.74*P$42))</f>
        <v>-1.5309905503461394</v>
      </c>
      <c r="N42" s="10">
        <f t="shared" si="6"/>
        <v>-2.5730933619262847E-2</v>
      </c>
      <c r="O42" s="22" t="s">
        <v>66</v>
      </c>
      <c r="P42" s="22">
        <f>((((B41-P41)^2+(B42-P41)^2+(B43-P41)^2+(B44-P41)^2+(B45-P41)^2+(B46-P41)^2+(B47-P41)^2+(B48-P41)^2+(B49-P41)^2+(B50-P41)^2+(B51-P41)^2+(B52-P41)^2))/(12-1))^0.5</f>
        <v>43.285122365332619</v>
      </c>
      <c r="Q42" s="89">
        <v>59.5</v>
      </c>
      <c r="R42" s="89"/>
      <c r="S42" s="10"/>
      <c r="T42" s="10"/>
      <c r="U42" s="10"/>
      <c r="V42" s="5"/>
      <c r="W42" s="5"/>
      <c r="X42" s="5"/>
      <c r="Y42" s="5"/>
      <c r="Z42" s="5"/>
      <c r="AA42" s="5"/>
      <c r="AC42" s="90"/>
      <c r="AD42" s="90"/>
    </row>
    <row r="43" spans="1:30" x14ac:dyDescent="0.25">
      <c r="A43" s="22" t="s">
        <v>2</v>
      </c>
      <c r="B43" s="10">
        <v>136.5</v>
      </c>
      <c r="C43" s="95"/>
      <c r="D43" s="70">
        <v>7114</v>
      </c>
      <c r="E43" s="95"/>
      <c r="F43" s="95"/>
      <c r="G43" s="74">
        <f>(5.01*(B43^0.59)*$Z$45)/(86.4*I$13)</f>
        <v>118.6756579592323</v>
      </c>
      <c r="H43" s="74">
        <f t="shared" si="4"/>
        <v>6.1220764882612873</v>
      </c>
      <c r="I43" s="42">
        <f t="shared" si="5"/>
        <v>5.5681982098513758E-2</v>
      </c>
      <c r="J43" s="32">
        <v>4.7</v>
      </c>
      <c r="K43" s="22" t="s">
        <v>72</v>
      </c>
      <c r="L43" s="10">
        <f>EXP(1)</f>
        <v>2.7182818284590451</v>
      </c>
      <c r="M43" s="22">
        <f t="shared" si="7"/>
        <v>104.46900944965387</v>
      </c>
      <c r="N43" s="10">
        <f t="shared" si="6"/>
        <v>1.9861028412481723</v>
      </c>
      <c r="O43" s="22"/>
      <c r="P43" s="22"/>
      <c r="Q43" s="89">
        <v>52.6</v>
      </c>
      <c r="R43" s="89"/>
      <c r="S43" s="10"/>
      <c r="T43" s="10"/>
      <c r="U43" s="10"/>
      <c r="V43" s="5"/>
      <c r="W43" s="5"/>
      <c r="X43" s="5"/>
      <c r="Y43" s="5"/>
      <c r="Z43" s="5"/>
      <c r="AA43" s="5"/>
      <c r="AC43" s="90"/>
      <c r="AD43" s="90"/>
    </row>
    <row r="44" spans="1:30" x14ac:dyDescent="0.25">
      <c r="A44" s="22" t="s">
        <v>3</v>
      </c>
      <c r="B44" s="10">
        <v>107.2</v>
      </c>
      <c r="C44" s="95"/>
      <c r="D44" s="70">
        <v>7066</v>
      </c>
      <c r="E44" s="95"/>
      <c r="F44" s="95"/>
      <c r="G44" s="74">
        <f>(5.01*(B44^0.59)*$Z$45)/(86.4*I$14)</f>
        <v>106.33806329471172</v>
      </c>
      <c r="H44" s="74">
        <f t="shared" si="4"/>
        <v>25.839534031351562</v>
      </c>
      <c r="I44" s="42">
        <f t="shared" si="5"/>
        <v>0.2350177221938437</v>
      </c>
      <c r="J44" s="32">
        <v>4.7</v>
      </c>
      <c r="K44" s="22"/>
      <c r="L44" s="22"/>
      <c r="M44" s="22">
        <f t="shared" si="7"/>
        <v>75.169009449653856</v>
      </c>
      <c r="N44" s="10">
        <f t="shared" si="6"/>
        <v>1.1458690464886259</v>
      </c>
      <c r="O44" s="22"/>
      <c r="P44" s="22"/>
      <c r="Q44" s="89">
        <v>65.599999999999994</v>
      </c>
      <c r="R44" s="89"/>
      <c r="S44" s="10" t="s">
        <v>38</v>
      </c>
      <c r="T44" s="10"/>
      <c r="U44" s="10"/>
      <c r="V44" s="5"/>
      <c r="W44" s="5"/>
      <c r="X44" s="5"/>
      <c r="Y44" s="5"/>
      <c r="Z44" s="5"/>
      <c r="AA44" s="5"/>
      <c r="AC44" s="90"/>
      <c r="AD44" s="90"/>
    </row>
    <row r="45" spans="1:30" x14ac:dyDescent="0.25">
      <c r="A45" s="22" t="s">
        <v>4</v>
      </c>
      <c r="B45" s="10">
        <v>66.900000000000006</v>
      </c>
      <c r="C45" s="95"/>
      <c r="D45" s="70">
        <v>5318</v>
      </c>
      <c r="E45" s="95"/>
      <c r="F45" s="95"/>
      <c r="G45" s="74">
        <f>(5.01*(B45^0.59)*$Z$45)/(86.4*I$15)</f>
        <v>77.917461195746256</v>
      </c>
      <c r="H45" s="74">
        <f t="shared" si="4"/>
        <v>72.90927763316634</v>
      </c>
      <c r="I45" s="42">
        <f t="shared" si="5"/>
        <v>0.66313008335812618</v>
      </c>
      <c r="J45" s="32">
        <v>4.7</v>
      </c>
      <c r="K45" s="22" t="s">
        <v>77</v>
      </c>
      <c r="L45" s="22">
        <v>86400</v>
      </c>
      <c r="M45" s="22">
        <f t="shared" si="7"/>
        <v>34.869009449653866</v>
      </c>
      <c r="N45" s="10">
        <f t="shared" si="6"/>
        <v>0.54060479766905223</v>
      </c>
      <c r="O45" s="22"/>
      <c r="P45" s="22"/>
      <c r="Q45" s="89">
        <v>64.5</v>
      </c>
      <c r="R45" s="89"/>
      <c r="S45" s="10" t="s">
        <v>39</v>
      </c>
      <c r="T45" s="10"/>
      <c r="U45" s="10"/>
      <c r="V45" s="5"/>
      <c r="W45" s="5"/>
      <c r="X45" s="5"/>
      <c r="Y45" t="s">
        <v>35</v>
      </c>
      <c r="Z45" s="15">
        <v>3488.76</v>
      </c>
      <c r="AA45" t="s">
        <v>36</v>
      </c>
      <c r="AC45" s="90"/>
      <c r="AD45" s="90"/>
    </row>
    <row r="46" spans="1:30" x14ac:dyDescent="0.25">
      <c r="A46" s="22" t="s">
        <v>5</v>
      </c>
      <c r="B46" s="10">
        <v>29.6</v>
      </c>
      <c r="C46" s="95"/>
      <c r="D46" s="58">
        <v>3.25</v>
      </c>
      <c r="E46" s="95"/>
      <c r="F46" s="95"/>
      <c r="G46" s="74">
        <f>(5.01*(B46^0.59)*$Z$45)/(86.4*I$16)</f>
        <v>49.766366382216987</v>
      </c>
      <c r="H46" s="74">
        <f t="shared" si="4"/>
        <v>88.859106499516344</v>
      </c>
      <c r="I46" s="42">
        <f t="shared" si="5"/>
        <v>1.798678164916528</v>
      </c>
      <c r="J46" s="32">
        <v>3.9</v>
      </c>
      <c r="K46" s="22" t="s">
        <v>78</v>
      </c>
      <c r="L46" s="22">
        <f>L45*15</f>
        <v>1296000</v>
      </c>
      <c r="M46" s="22">
        <f t="shared" si="7"/>
        <v>-2.430990550346138</v>
      </c>
      <c r="N46" s="10">
        <f t="shared" si="6"/>
        <v>-4.1626550519625653E-2</v>
      </c>
      <c r="O46" s="22" t="s">
        <v>67</v>
      </c>
      <c r="P46" s="22">
        <v>0.65</v>
      </c>
      <c r="Q46" s="89">
        <v>58.4</v>
      </c>
      <c r="R46" s="89"/>
      <c r="S46" s="10" t="s">
        <v>40</v>
      </c>
      <c r="T46" s="10"/>
      <c r="U46" s="10"/>
      <c r="V46" s="5"/>
      <c r="W46" s="5"/>
      <c r="X46" s="5"/>
      <c r="Y46" s="5"/>
      <c r="Z46" s="5"/>
      <c r="AA46" s="5"/>
      <c r="AC46" s="90"/>
      <c r="AD46" s="90"/>
    </row>
    <row r="47" spans="1:30" x14ac:dyDescent="0.25">
      <c r="A47" s="22" t="s">
        <v>6</v>
      </c>
      <c r="B47" s="10">
        <v>6</v>
      </c>
      <c r="C47" s="95"/>
      <c r="D47" s="70">
        <v>1366</v>
      </c>
      <c r="E47" s="95"/>
      <c r="F47" s="95"/>
      <c r="G47" s="74">
        <f>(5.01*(B47^0.59)*$Z$45)/(86.4*I$17)</f>
        <v>18.78203396664507</v>
      </c>
      <c r="H47" s="74">
        <f t="shared" si="4"/>
        <v>40.271608197305682</v>
      </c>
      <c r="I47" s="42">
        <f t="shared" si="5"/>
        <v>3.653357871332731</v>
      </c>
      <c r="J47" s="32">
        <v>2.4</v>
      </c>
      <c r="K47" s="22"/>
      <c r="L47" s="22"/>
      <c r="M47" s="22">
        <f t="shared" si="7"/>
        <v>-26.030990550346139</v>
      </c>
      <c r="N47" s="10">
        <f t="shared" si="6"/>
        <v>-0.45508724738367373</v>
      </c>
      <c r="O47" s="22" t="s">
        <v>68</v>
      </c>
      <c r="P47" s="22">
        <v>0.45</v>
      </c>
      <c r="Q47" s="89">
        <v>57.2</v>
      </c>
      <c r="R47" s="89"/>
      <c r="S47" s="10" t="s">
        <v>41</v>
      </c>
      <c r="T47" s="10"/>
      <c r="U47" s="10"/>
      <c r="V47" s="5"/>
      <c r="W47" s="5"/>
      <c r="X47" s="5"/>
      <c r="Y47" s="5"/>
      <c r="Z47" s="5"/>
      <c r="AA47" s="5"/>
      <c r="AC47" s="90"/>
      <c r="AD47" s="90"/>
    </row>
    <row r="48" spans="1:30" x14ac:dyDescent="0.25">
      <c r="A48" s="22" t="s">
        <v>7</v>
      </c>
      <c r="B48" s="10">
        <v>26.9</v>
      </c>
      <c r="C48" s="95"/>
      <c r="D48" s="70">
        <v>2133</v>
      </c>
      <c r="E48" s="95"/>
      <c r="F48" s="95"/>
      <c r="G48" s="74">
        <f>(5.01*(B48^0.59)*$Z$45)/(86.4*I$18)</f>
        <v>45.518425275798648</v>
      </c>
      <c r="H48" s="74">
        <f t="shared" si="4"/>
        <v>5.8771689880859377</v>
      </c>
      <c r="I48" s="42">
        <f t="shared" si="5"/>
        <v>1.9563396101409285</v>
      </c>
      <c r="J48" s="32">
        <v>1.1000000000000001</v>
      </c>
      <c r="K48" s="22"/>
      <c r="L48" s="22"/>
      <c r="M48" s="22">
        <f t="shared" si="7"/>
        <v>-5.1309905503461408</v>
      </c>
      <c r="N48" s="10">
        <f t="shared" si="6"/>
        <v>-9.0653543292334646E-2</v>
      </c>
      <c r="O48" s="22" t="s">
        <v>69</v>
      </c>
      <c r="P48" s="22">
        <f>-1+(EXP(1)*(0.5*P49))</f>
        <v>3.0774227426885679</v>
      </c>
      <c r="Q48" s="89">
        <v>56.6</v>
      </c>
      <c r="R48" s="89"/>
      <c r="S48" s="10" t="s">
        <v>42</v>
      </c>
      <c r="T48" s="10"/>
      <c r="U48" s="10"/>
      <c r="Z48" s="5"/>
      <c r="AA48" s="5"/>
      <c r="AC48" s="90"/>
      <c r="AD48" s="90"/>
    </row>
    <row r="49" spans="1:30" x14ac:dyDescent="0.25">
      <c r="A49" s="22" t="s">
        <v>8</v>
      </c>
      <c r="B49" s="10">
        <v>101.3</v>
      </c>
      <c r="C49" s="95"/>
      <c r="D49" s="70">
        <v>5739</v>
      </c>
      <c r="E49" s="95"/>
      <c r="F49" s="95"/>
      <c r="G49" s="74">
        <f>(5.01*(B49^0.59)*$Z$45)/(86.4*I$19)</f>
        <v>102.8450505007421</v>
      </c>
      <c r="H49" s="74">
        <f t="shared" si="4"/>
        <v>0.58344179975523258</v>
      </c>
      <c r="I49" s="42">
        <f t="shared" si="5"/>
        <v>0.1942109041592838</v>
      </c>
      <c r="J49" s="32">
        <v>1.1000000000000001</v>
      </c>
      <c r="K49" s="22"/>
      <c r="L49" s="22"/>
      <c r="M49" s="22">
        <f t="shared" si="7"/>
        <v>69.269009449653851</v>
      </c>
      <c r="N49" s="10">
        <f t="shared" si="6"/>
        <v>1.2571508067087813</v>
      </c>
      <c r="O49" s="22" t="s">
        <v>74</v>
      </c>
      <c r="P49" s="22">
        <v>3</v>
      </c>
      <c r="Q49" s="89">
        <v>55.1</v>
      </c>
      <c r="R49" s="89"/>
      <c r="S49" s="10" t="s">
        <v>43</v>
      </c>
      <c r="T49" s="10"/>
      <c r="U49" s="10"/>
      <c r="Z49" s="5"/>
      <c r="AA49" s="5"/>
      <c r="AC49" s="90"/>
      <c r="AD49" s="90"/>
    </row>
    <row r="50" spans="1:30" ht="18.75" x14ac:dyDescent="0.3">
      <c r="A50" s="22" t="s">
        <v>9</v>
      </c>
      <c r="B50" s="10">
        <v>111.6</v>
      </c>
      <c r="C50" s="95"/>
      <c r="D50" s="70">
        <v>6908</v>
      </c>
      <c r="E50" s="95"/>
      <c r="F50" s="95"/>
      <c r="G50" s="74">
        <f>(5.01*(B50^0.59)*$Z$45)/(86.4*I$20)</f>
        <v>105.37928770651973</v>
      </c>
      <c r="H50" s="74">
        <f t="shared" si="4"/>
        <v>1.7800907902209813</v>
      </c>
      <c r="I50" s="42">
        <f t="shared" si="5"/>
        <v>0.16148619315818175</v>
      </c>
      <c r="J50" s="32">
        <v>2.4</v>
      </c>
      <c r="K50" s="22"/>
      <c r="L50" s="22"/>
      <c r="M50" s="22">
        <f t="shared" si="7"/>
        <v>79.569009449653862</v>
      </c>
      <c r="N50" s="10">
        <f t="shared" si="6"/>
        <v>1.3648200591707353</v>
      </c>
      <c r="O50" s="45" t="s">
        <v>75</v>
      </c>
      <c r="P50" s="10"/>
      <c r="Q50" s="89">
        <v>58.3</v>
      </c>
      <c r="R50" s="89"/>
      <c r="S50" s="10"/>
      <c r="T50" s="10"/>
      <c r="U50" s="10"/>
      <c r="AC50" s="90"/>
      <c r="AD50" s="90"/>
    </row>
    <row r="51" spans="1:30" x14ac:dyDescent="0.25">
      <c r="A51" s="22" t="s">
        <v>10</v>
      </c>
      <c r="B51" s="10">
        <v>16.8</v>
      </c>
      <c r="C51" s="95"/>
      <c r="D51" s="70">
        <v>3113</v>
      </c>
      <c r="E51" s="95"/>
      <c r="F51" s="95"/>
      <c r="G51" s="74">
        <f>(5.01*(B51^0.59)*$Z$45)/(86.4*I$21)</f>
        <v>35.62921872072652</v>
      </c>
      <c r="H51" s="74">
        <f t="shared" si="4"/>
        <v>128.59170806497082</v>
      </c>
      <c r="I51" s="42">
        <f t="shared" si="5"/>
        <v>2.6029419673158931</v>
      </c>
      <c r="J51" s="32">
        <v>3.9</v>
      </c>
      <c r="K51" s="22"/>
      <c r="L51" s="22"/>
      <c r="M51" s="22">
        <f t="shared" si="7"/>
        <v>-15.230990550346139</v>
      </c>
      <c r="N51" s="10">
        <f t="shared" si="6"/>
        <v>-0.25728024578287395</v>
      </c>
      <c r="O51" s="10"/>
      <c r="P51" s="22"/>
      <c r="Q51" s="89">
        <v>59.2</v>
      </c>
      <c r="R51" s="89"/>
      <c r="S51" s="10" t="s">
        <v>44</v>
      </c>
      <c r="T51" s="10"/>
      <c r="U51" s="10"/>
      <c r="Z51" s="5"/>
      <c r="AA51" s="5"/>
      <c r="AC51" s="90"/>
      <c r="AD51" s="90"/>
    </row>
    <row r="52" spans="1:30" x14ac:dyDescent="0.25">
      <c r="A52" s="22" t="s">
        <v>11</v>
      </c>
      <c r="B52" s="10">
        <v>85.3</v>
      </c>
      <c r="C52" s="95"/>
      <c r="D52" s="70">
        <v>4997</v>
      </c>
      <c r="E52" s="95"/>
      <c r="F52" s="95"/>
      <c r="G52" s="74">
        <f>(5.01*(B52^0.59)*$Z$45)/(86.4*I$22)</f>
        <v>89.927664029466129</v>
      </c>
      <c r="H52" s="74">
        <f t="shared" si="4"/>
        <v>19.648956462230529</v>
      </c>
      <c r="I52" s="42">
        <f t="shared" si="5"/>
        <v>0.39773243671094</v>
      </c>
      <c r="J52" s="32">
        <v>3.9</v>
      </c>
      <c r="K52" s="22"/>
      <c r="L52" s="22"/>
      <c r="M52" s="22">
        <f t="shared" si="7"/>
        <v>53.269009449653858</v>
      </c>
      <c r="N52" s="10">
        <f t="shared" si="6"/>
        <v>0.8388820385772261</v>
      </c>
      <c r="O52" s="22"/>
      <c r="P52" s="22"/>
      <c r="Q52" s="89">
        <v>63.5</v>
      </c>
      <c r="R52" s="89"/>
      <c r="S52" s="10" t="s">
        <v>45</v>
      </c>
      <c r="T52" s="10"/>
      <c r="U52" s="10"/>
      <c r="Z52" s="5"/>
      <c r="AA52" s="5"/>
      <c r="AC52" s="90"/>
      <c r="AD52" s="90"/>
    </row>
    <row r="53" spans="1:30" x14ac:dyDescent="0.25">
      <c r="A53" s="22" t="s">
        <v>12</v>
      </c>
      <c r="B53" s="22">
        <v>1978</v>
      </c>
      <c r="C53" s="22">
        <v>1978</v>
      </c>
      <c r="D53" s="56">
        <v>1978</v>
      </c>
      <c r="E53" s="22">
        <v>1978</v>
      </c>
      <c r="F53" s="22">
        <v>1978</v>
      </c>
      <c r="G53" s="56">
        <v>1978</v>
      </c>
      <c r="H53" s="56">
        <v>1978</v>
      </c>
      <c r="I53" s="10">
        <v>1978</v>
      </c>
      <c r="J53" s="47" t="s">
        <v>70</v>
      </c>
      <c r="K53" s="49" t="s">
        <v>61</v>
      </c>
      <c r="L53" s="49" t="s">
        <v>62</v>
      </c>
      <c r="M53" s="39" t="s">
        <v>60</v>
      </c>
      <c r="N53" s="39" t="s">
        <v>73</v>
      </c>
      <c r="O53" s="105" t="s">
        <v>57</v>
      </c>
      <c r="P53" s="105"/>
      <c r="Q53" s="89" t="s">
        <v>46</v>
      </c>
      <c r="R53" s="89"/>
      <c r="S53" s="10" t="s">
        <v>13</v>
      </c>
      <c r="T53" s="10" t="s">
        <v>14</v>
      </c>
      <c r="U53" s="10" t="s">
        <v>15</v>
      </c>
      <c r="V53" s="5"/>
      <c r="AC53" s="90"/>
      <c r="AD53" s="90"/>
    </row>
    <row r="54" spans="1:30" x14ac:dyDescent="0.25">
      <c r="A54" s="22" t="s">
        <v>0</v>
      </c>
      <c r="B54" s="10">
        <v>52.1</v>
      </c>
      <c r="C54" s="10">
        <v>5.7999999999999996E-3</v>
      </c>
      <c r="D54" s="70">
        <v>4419</v>
      </c>
      <c r="E54" s="63">
        <f>C54*(($Z$45^F$24)*((0.7*B54+0.29*B52+0.01*B51)^(F$15)))</f>
        <v>4.4132102967330002</v>
      </c>
      <c r="F54" s="63">
        <f>S55*(($Z$45^U$55)*(((0.7*B54)+(0.29*B52)+(0.01*B51))^(T$55)))</f>
        <v>33.424840826996885</v>
      </c>
      <c r="G54" s="74">
        <f>(5.01*(B54^0.59)*$Z$45)/(86.4*I$11)</f>
        <v>67.230701164906407</v>
      </c>
      <c r="H54" s="74">
        <f t="shared" ref="H54:H65" si="8">L$30^(J54-(0.6458446*LN(P$34))-(9.53942*N54*(P$34/P$33))+(4.8904*N54))</f>
        <v>119.60046921426402</v>
      </c>
      <c r="I54" s="22">
        <f t="shared" ref="I54:I65" si="9">L$30^(K$28-(0.6458446*LN(P$34))-(9.53942*N54*(P$34/P$33))+(4.8904*N54))</f>
        <v>1.087799408996581</v>
      </c>
      <c r="J54" s="32">
        <v>4.7</v>
      </c>
      <c r="K54" s="22">
        <f>(10^-8)*((P61/P60)^-7.2474)</f>
        <v>8.8839224002565862E-15</v>
      </c>
      <c r="L54" s="22">
        <f>(-3.2951*(P60/P59))+5.33</f>
        <v>3.0487769230769231</v>
      </c>
      <c r="M54" s="22">
        <f>(B54-(0.74*P$55))</f>
        <v>16.468360810038</v>
      </c>
      <c r="N54" s="10">
        <f t="shared" ref="N54:N65" si="10">M54/Q54</f>
        <v>0.25180979831862382</v>
      </c>
      <c r="O54" s="22" t="s">
        <v>58</v>
      </c>
      <c r="P54" s="22">
        <f>(B54+B55+B56+B57+B58+B59+B60+B61+B62+B63+B64+B65)/12</f>
        <v>61.774999999999999</v>
      </c>
      <c r="Q54" s="89">
        <v>65.400000000000006</v>
      </c>
      <c r="R54" s="89"/>
      <c r="S54" s="32">
        <v>1978</v>
      </c>
      <c r="T54" s="32">
        <v>1978</v>
      </c>
      <c r="U54" s="32">
        <v>1978</v>
      </c>
      <c r="V54" s="5"/>
      <c r="AC54" s="106"/>
      <c r="AD54" s="106"/>
    </row>
    <row r="55" spans="1:30" x14ac:dyDescent="0.25">
      <c r="A55" s="22" t="s">
        <v>1</v>
      </c>
      <c r="B55" s="10">
        <v>65.900000000000006</v>
      </c>
      <c r="C55" s="10">
        <v>6.1000000000000004E-3</v>
      </c>
      <c r="D55" s="70">
        <v>4679</v>
      </c>
      <c r="E55" s="63">
        <f>C55*(($Z$45^F$24)*(((0.7*B55)+(0.29*B54)+(0.01*B52))^(F$15)))</f>
        <v>4.6734701153561202</v>
      </c>
      <c r="F55" s="63">
        <f>S56*(($Z$45^U56)*(((0.7*B55)+(0.29*B54)+(0.01*B52))^(T56)))</f>
        <v>27.823037628580401</v>
      </c>
      <c r="G55" s="74">
        <f>(5.01*(B55^0.59)*$Z$45)/(86.4*I$12)</f>
        <v>85.502623595902321</v>
      </c>
      <c r="H55" s="74">
        <f t="shared" si="8"/>
        <v>77.0053042803154</v>
      </c>
      <c r="I55" s="22">
        <f t="shared" si="9"/>
        <v>0.70038458072987764</v>
      </c>
      <c r="J55" s="32">
        <v>4.7</v>
      </c>
      <c r="K55" s="22"/>
      <c r="L55" s="22"/>
      <c r="M55" s="22">
        <f t="shared" ref="M55:M65" si="11">(B55-(0.74*P$55))</f>
        <v>30.268360810038004</v>
      </c>
      <c r="N55" s="10">
        <f t="shared" si="10"/>
        <v>0.5087119463871933</v>
      </c>
      <c r="O55" s="22" t="s">
        <v>66</v>
      </c>
      <c r="P55" s="22">
        <f>((((B54-P54)^2+(B55-P54)^2+(B56-P54)^2+(B57-P54)^2+(B58-P54)^2+(B59-P54)^2+(B60-P54)^2+(B61-P54)^2+(B62-P54)^2+(B63-P54)^2+(B64-P54)^2+(B65-P54)^2))/(12-1))^0.5</f>
        <v>48.150863770218926</v>
      </c>
      <c r="Q55" s="89">
        <v>59.5</v>
      </c>
      <c r="R55" s="89"/>
      <c r="S55" s="10">
        <v>7.1192E-3</v>
      </c>
      <c r="T55" s="10">
        <v>0.72399999999999998</v>
      </c>
      <c r="U55" s="10">
        <v>0.67100000000000004</v>
      </c>
      <c r="V55" s="5"/>
      <c r="AC55" s="106"/>
      <c r="AD55" s="106"/>
    </row>
    <row r="56" spans="1:30" x14ac:dyDescent="0.25">
      <c r="A56" s="22" t="s">
        <v>2</v>
      </c>
      <c r="B56" s="10">
        <v>87.8</v>
      </c>
      <c r="C56" s="10">
        <v>6.4000000000000003E-3</v>
      </c>
      <c r="D56" s="70">
        <v>5749</v>
      </c>
      <c r="E56" s="63">
        <f>C56*(($Z$45^F$24)*(((0.7*B56)+(0.29*B55)+(0.01*B54))^(F$15)))</f>
        <v>5.7418997202631088</v>
      </c>
      <c r="F56" s="63">
        <f t="shared" ref="F56:F65" si="12">S57*(($Z$45^U57)*(((0.7*B56)+(0.29*B55)+(0.01*B54))^(T57)))</f>
        <v>45.056212314093841</v>
      </c>
      <c r="G56" s="74">
        <f>(5.01*(B56^0.59)*$Z$45)/(86.4*I$13)</f>
        <v>91.473468764963158</v>
      </c>
      <c r="H56" s="74">
        <f t="shared" si="8"/>
        <v>33.648272278571675</v>
      </c>
      <c r="I56" s="22">
        <f t="shared" si="9"/>
        <v>0.30604036036692173</v>
      </c>
      <c r="J56" s="32">
        <v>4.7</v>
      </c>
      <c r="K56" s="22" t="s">
        <v>72</v>
      </c>
      <c r="L56" s="10">
        <f>EXP(1)</f>
        <v>2.7182818284590451</v>
      </c>
      <c r="M56" s="22">
        <f t="shared" si="11"/>
        <v>52.168360810037996</v>
      </c>
      <c r="N56" s="10">
        <f t="shared" si="10"/>
        <v>0.99179393174977171</v>
      </c>
      <c r="O56" s="22"/>
      <c r="P56" s="22"/>
      <c r="Q56" s="89">
        <v>52.6</v>
      </c>
      <c r="R56" s="89"/>
      <c r="S56" s="10">
        <v>6.1463999999999998E-3</v>
      </c>
      <c r="T56" s="10">
        <v>0.72299999999999998</v>
      </c>
      <c r="U56" s="10">
        <v>0.66600000000000004</v>
      </c>
      <c r="V56" s="5"/>
      <c r="AC56" s="106"/>
      <c r="AD56" s="106"/>
    </row>
    <row r="57" spans="1:30" x14ac:dyDescent="0.25">
      <c r="A57" s="22" t="s">
        <v>3</v>
      </c>
      <c r="B57" s="10">
        <v>185.1</v>
      </c>
      <c r="C57" s="10">
        <v>6.8999999999999999E-3</v>
      </c>
      <c r="D57" s="70">
        <v>9115</v>
      </c>
      <c r="E57" s="63">
        <f>C57*(($Z$45^F$24)*(((0.7*B57)+(0.29*B56)+(0.01*B55))^(F$15)))</f>
        <v>9.1044580060848954</v>
      </c>
      <c r="F57" s="63">
        <f t="shared" si="12"/>
        <v>68.554620653610286</v>
      </c>
      <c r="G57" s="74">
        <f>(5.01*(B57^0.59)*$Z$45)/(86.4*I$14)</f>
        <v>146.7721344558106</v>
      </c>
      <c r="H57" s="74">
        <f t="shared" si="8"/>
        <v>3.7092118299726815</v>
      </c>
      <c r="I57" s="22">
        <f t="shared" si="9"/>
        <v>3.3736309422490091E-2</v>
      </c>
      <c r="J57" s="32">
        <v>4.7</v>
      </c>
      <c r="K57" s="22"/>
      <c r="L57" s="22"/>
      <c r="M57" s="22">
        <f t="shared" si="11"/>
        <v>149.46836081003801</v>
      </c>
      <c r="N57" s="10">
        <f t="shared" si="10"/>
        <v>2.2784811099091162</v>
      </c>
      <c r="O57" s="22"/>
      <c r="P57" s="22"/>
      <c r="Q57" s="89">
        <v>65.599999999999994</v>
      </c>
      <c r="R57" s="89"/>
      <c r="S57" s="10">
        <v>7.3990000000000002E-3</v>
      </c>
      <c r="T57" s="10">
        <v>0.72799999999999998</v>
      </c>
      <c r="U57" s="10">
        <v>0.67600000000000005</v>
      </c>
      <c r="V57" s="5"/>
      <c r="AC57" s="106"/>
      <c r="AD57" s="106"/>
    </row>
    <row r="58" spans="1:30" x14ac:dyDescent="0.25">
      <c r="A58" s="22" t="s">
        <v>4</v>
      </c>
      <c r="B58" s="10">
        <v>78.599999999999994</v>
      </c>
      <c r="C58" s="10">
        <v>6.1999999999999998E-3</v>
      </c>
      <c r="D58" s="70">
        <v>6654</v>
      </c>
      <c r="E58" s="63">
        <f>C58*(($Z$45^F$24)*(((0.7*B58)+(0.29*B57)+(0.01*B56))^(F$15)))</f>
        <v>6.6463799514315207</v>
      </c>
      <c r="F58" s="63">
        <f t="shared" si="12"/>
        <v>50.572067708034133</v>
      </c>
      <c r="G58" s="74">
        <f>(5.01*(B58^0.59)*$Z$45)/(86.4*I$15)</f>
        <v>85.690501801244039</v>
      </c>
      <c r="H58" s="74">
        <f t="shared" si="8"/>
        <v>58.792247254353285</v>
      </c>
      <c r="I58" s="22">
        <f t="shared" si="9"/>
        <v>0.53473178020976286</v>
      </c>
      <c r="J58" s="32">
        <v>4.7</v>
      </c>
      <c r="K58" s="22" t="s">
        <v>77</v>
      </c>
      <c r="L58" s="22">
        <v>86400</v>
      </c>
      <c r="M58" s="22">
        <f t="shared" si="11"/>
        <v>42.968360810037993</v>
      </c>
      <c r="N58" s="10">
        <f t="shared" si="10"/>
        <v>0.66617613658973629</v>
      </c>
      <c r="O58" s="22"/>
      <c r="P58" s="22"/>
      <c r="Q58" s="89">
        <v>64.5</v>
      </c>
      <c r="R58" s="89"/>
      <c r="S58" s="10">
        <v>7.1310000000000002E-3</v>
      </c>
      <c r="T58" s="10">
        <v>0.72599999999999998</v>
      </c>
      <c r="U58" s="10">
        <v>0.67500000000000004</v>
      </c>
      <c r="V58" s="5"/>
      <c r="AC58" s="106"/>
      <c r="AD58" s="106"/>
    </row>
    <row r="59" spans="1:30" x14ac:dyDescent="0.25">
      <c r="A59" s="22" t="s">
        <v>5</v>
      </c>
      <c r="B59" s="10">
        <v>11.9</v>
      </c>
      <c r="C59" s="10">
        <v>4.7000000000000002E-3</v>
      </c>
      <c r="D59" s="58">
        <v>2.48</v>
      </c>
      <c r="E59" s="63">
        <f t="shared" ref="E59:E65" si="13">C59*(($Z$45^F$24)*((0.7*B59+0.29*B58+0.01*B57)^(F$15)))</f>
        <v>2.4766589185609269</v>
      </c>
      <c r="F59" s="63">
        <f t="shared" si="12"/>
        <v>47.448260115391768</v>
      </c>
      <c r="G59" s="74">
        <f>(5.01*(B59^0.59)*$Z$45)/(86.4*I$16)</f>
        <v>29.070100301141355</v>
      </c>
      <c r="H59" s="74">
        <f t="shared" si="8"/>
        <v>166.02586561494255</v>
      </c>
      <c r="I59" s="22">
        <f t="shared" si="9"/>
        <v>3.3606808694907175</v>
      </c>
      <c r="J59" s="32">
        <v>3.9</v>
      </c>
      <c r="K59" s="22" t="s">
        <v>78</v>
      </c>
      <c r="L59" s="22">
        <f>L58*15</f>
        <v>1296000</v>
      </c>
      <c r="M59" s="22">
        <f t="shared" si="11"/>
        <v>-23.731639189962003</v>
      </c>
      <c r="N59" s="10">
        <f t="shared" si="10"/>
        <v>-0.40636368475962337</v>
      </c>
      <c r="O59" s="22" t="s">
        <v>67</v>
      </c>
      <c r="P59" s="22">
        <v>0.65</v>
      </c>
      <c r="Q59" s="89">
        <v>58.4</v>
      </c>
      <c r="R59" s="89"/>
      <c r="S59" s="10">
        <v>7.1713999999999996E-3</v>
      </c>
      <c r="T59" s="10">
        <v>0.72299999999999998</v>
      </c>
      <c r="U59" s="10">
        <v>0.67</v>
      </c>
      <c r="V59" s="5"/>
      <c r="AC59" s="106"/>
      <c r="AD59" s="106"/>
    </row>
    <row r="60" spans="1:30" x14ac:dyDescent="0.25">
      <c r="A60" s="22" t="s">
        <v>6</v>
      </c>
      <c r="B60" s="10">
        <v>48.5</v>
      </c>
      <c r="C60" s="10">
        <v>5.8999999999999999E-3</v>
      </c>
      <c r="D60" s="70">
        <v>3395</v>
      </c>
      <c r="E60" s="63">
        <f t="shared" si="13"/>
        <v>3.390856705824381</v>
      </c>
      <c r="F60" s="63">
        <f t="shared" si="12"/>
        <v>36.308805748961255</v>
      </c>
      <c r="G60" s="74">
        <f>(5.01*(B60^0.59)*$Z$45)/(86.4*I$17)</f>
        <v>64.449716253416668</v>
      </c>
      <c r="H60" s="74">
        <f t="shared" si="8"/>
        <v>12.555425480043949</v>
      </c>
      <c r="I60" s="22">
        <f t="shared" si="9"/>
        <v>1.1390025022273369</v>
      </c>
      <c r="J60" s="32">
        <v>2.4</v>
      </c>
      <c r="K60" s="22"/>
      <c r="L60" s="22"/>
      <c r="M60" s="22">
        <f t="shared" si="11"/>
        <v>12.868360810037998</v>
      </c>
      <c r="N60" s="10">
        <f t="shared" si="10"/>
        <v>0.22497134283283213</v>
      </c>
      <c r="O60" s="22" t="s">
        <v>68</v>
      </c>
      <c r="P60" s="22">
        <v>0.45</v>
      </c>
      <c r="Q60" s="89">
        <v>57.2</v>
      </c>
      <c r="R60" s="89"/>
      <c r="S60" s="10">
        <v>7.3350000000000004E-3</v>
      </c>
      <c r="T60" s="10">
        <v>0.79500000000000004</v>
      </c>
      <c r="U60" s="10">
        <v>0.73499999999999999</v>
      </c>
      <c r="V60" s="5"/>
      <c r="AC60" s="106"/>
      <c r="AD60" s="106"/>
    </row>
    <row r="61" spans="1:30" x14ac:dyDescent="0.25">
      <c r="A61" s="22" t="s">
        <v>7</v>
      </c>
      <c r="B61" s="10">
        <v>2</v>
      </c>
      <c r="C61" s="10">
        <v>4.0000000000000001E-3</v>
      </c>
      <c r="D61" s="70">
        <v>1355</v>
      </c>
      <c r="E61" s="63">
        <f t="shared" si="13"/>
        <v>1.3531024347618923</v>
      </c>
      <c r="F61" s="63">
        <f t="shared" si="12"/>
        <v>33.084817086685526</v>
      </c>
      <c r="G61" s="74">
        <f>(5.01*(B61^0.59)*$Z$45)/(86.4*I$18)</f>
        <v>9.8229307268944712</v>
      </c>
      <c r="H61" s="74">
        <f t="shared" si="8"/>
        <v>13.930178811843067</v>
      </c>
      <c r="I61" s="22">
        <f t="shared" si="9"/>
        <v>4.6369537172062669</v>
      </c>
      <c r="J61" s="32">
        <v>1.1000000000000001</v>
      </c>
      <c r="K61" s="22"/>
      <c r="L61" s="22"/>
      <c r="M61" s="22">
        <f t="shared" si="11"/>
        <v>-33.631639189962002</v>
      </c>
      <c r="N61" s="10">
        <f t="shared" si="10"/>
        <v>-0.59419857226081274</v>
      </c>
      <c r="O61" s="22" t="s">
        <v>69</v>
      </c>
      <c r="P61" s="22">
        <f>-1+(EXP(1)*(0.5*P62))</f>
        <v>3.0774227426885679</v>
      </c>
      <c r="Q61" s="89">
        <v>56.6</v>
      </c>
      <c r="R61" s="89"/>
      <c r="S61" s="10">
        <v>7.1787999999999999E-3</v>
      </c>
      <c r="T61" s="10">
        <v>0.78500000000000003</v>
      </c>
      <c r="U61" s="10">
        <v>0.69499999999999995</v>
      </c>
      <c r="V61" s="5"/>
      <c r="AC61" s="106"/>
      <c r="AD61" s="106"/>
    </row>
    <row r="62" spans="1:30" x14ac:dyDescent="0.25">
      <c r="A62" s="22" t="s">
        <v>8</v>
      </c>
      <c r="B62" s="10">
        <v>78.099999999999994</v>
      </c>
      <c r="C62" s="10">
        <v>6.3E-3</v>
      </c>
      <c r="D62" s="70">
        <v>4533</v>
      </c>
      <c r="E62" s="63">
        <f t="shared" si="13"/>
        <v>4.5280367424172026</v>
      </c>
      <c r="F62" s="63">
        <f t="shared" si="12"/>
        <v>36.036562635985554</v>
      </c>
      <c r="G62" s="74">
        <f>(5.01*(B62^0.59)*$Z$45)/(86.4*I$19)</f>
        <v>88.214084843465685</v>
      </c>
      <c r="H62" s="74">
        <f t="shared" si="8"/>
        <v>1.3428426504078679</v>
      </c>
      <c r="I62" s="22">
        <f t="shared" si="9"/>
        <v>0.44699348827727231</v>
      </c>
      <c r="J62" s="32">
        <v>1.1000000000000001</v>
      </c>
      <c r="K62" s="22"/>
      <c r="L62" s="22"/>
      <c r="M62" s="22">
        <f t="shared" si="11"/>
        <v>42.468360810037993</v>
      </c>
      <c r="N62" s="10">
        <f t="shared" si="10"/>
        <v>0.77075064990994535</v>
      </c>
      <c r="O62" s="22" t="s">
        <v>74</v>
      </c>
      <c r="P62" s="22">
        <v>3</v>
      </c>
      <c r="Q62" s="89">
        <v>55.1</v>
      </c>
      <c r="R62" s="89"/>
      <c r="S62" s="10">
        <v>7.3049999999999999E-3</v>
      </c>
      <c r="T62" s="10">
        <v>0.79900000000000004</v>
      </c>
      <c r="U62" s="10">
        <v>0.76300000000000001</v>
      </c>
      <c r="V62" s="5"/>
      <c r="AC62" s="106"/>
      <c r="AD62" s="106"/>
    </row>
    <row r="63" spans="1:30" ht="18.75" x14ac:dyDescent="0.3">
      <c r="A63" s="22" t="s">
        <v>9</v>
      </c>
      <c r="B63" s="10">
        <v>10.3</v>
      </c>
      <c r="C63" s="10">
        <v>4.5999999999999999E-3</v>
      </c>
      <c r="D63" s="70">
        <v>2289</v>
      </c>
      <c r="E63" s="63">
        <f t="shared" si="13"/>
        <v>2.2866727909923741</v>
      </c>
      <c r="F63" s="63">
        <f t="shared" si="12"/>
        <v>33.669642766060761</v>
      </c>
      <c r="G63" s="74">
        <f>(5.01*(B63^0.59)*$Z$45)/(86.4*I$20)</f>
        <v>25.83493340918584</v>
      </c>
      <c r="H63" s="74">
        <f t="shared" si="8"/>
        <v>38.875821455988493</v>
      </c>
      <c r="I63" s="22">
        <f t="shared" si="9"/>
        <v>3.526734954931936</v>
      </c>
      <c r="J63" s="32">
        <v>2.4</v>
      </c>
      <c r="K63" s="22"/>
      <c r="L63" s="22"/>
      <c r="M63" s="22">
        <f t="shared" si="11"/>
        <v>-25.331639189962001</v>
      </c>
      <c r="N63" s="10">
        <f t="shared" si="10"/>
        <v>-0.43450496037670672</v>
      </c>
      <c r="O63" s="45" t="s">
        <v>75</v>
      </c>
      <c r="P63" s="10"/>
      <c r="Q63" s="89">
        <v>58.3</v>
      </c>
      <c r="R63" s="89"/>
      <c r="S63" s="10">
        <v>6.8529999999999997E-3</v>
      </c>
      <c r="T63" s="10">
        <v>0.73099999999999998</v>
      </c>
      <c r="U63" s="10">
        <v>0.69</v>
      </c>
      <c r="V63" s="5"/>
      <c r="AC63" s="106"/>
      <c r="AD63" s="106"/>
    </row>
    <row r="64" spans="1:30" x14ac:dyDescent="0.25">
      <c r="A64" s="22" t="s">
        <v>10</v>
      </c>
      <c r="B64" s="10">
        <v>54.7</v>
      </c>
      <c r="C64" s="10">
        <v>5.8999999999999999E-3</v>
      </c>
      <c r="D64" s="70">
        <v>3594</v>
      </c>
      <c r="E64" s="63">
        <f t="shared" si="13"/>
        <v>3.5901105293991087</v>
      </c>
      <c r="F64" s="63">
        <f t="shared" si="12"/>
        <v>30.490522033994456</v>
      </c>
      <c r="G64" s="74">
        <f>(5.01*(B64^0.59)*$Z$45)/(86.4*I$21)</f>
        <v>71.496757383343933</v>
      </c>
      <c r="H64" s="74">
        <f t="shared" si="8"/>
        <v>47.640882200679528</v>
      </c>
      <c r="I64" s="22">
        <f t="shared" si="9"/>
        <v>0.9643425187061625</v>
      </c>
      <c r="J64" s="32">
        <v>3.9</v>
      </c>
      <c r="K64" s="22"/>
      <c r="L64" s="22"/>
      <c r="M64" s="22">
        <f t="shared" si="11"/>
        <v>19.068360810038001</v>
      </c>
      <c r="N64" s="10">
        <f t="shared" si="10"/>
        <v>0.32210068935875003</v>
      </c>
      <c r="O64" s="10"/>
      <c r="P64" s="22"/>
      <c r="Q64" s="89">
        <v>59.2</v>
      </c>
      <c r="R64" s="89"/>
      <c r="S64" s="10">
        <v>6.9826000000000003E-3</v>
      </c>
      <c r="T64" s="10">
        <v>0.75800000000000001</v>
      </c>
      <c r="U64" s="10">
        <v>0.72399999999999998</v>
      </c>
      <c r="V64" s="5"/>
      <c r="AC64" s="106"/>
      <c r="AD64" s="106"/>
    </row>
    <row r="65" spans="1:30" x14ac:dyDescent="0.25">
      <c r="A65" s="22" t="s">
        <v>11</v>
      </c>
      <c r="B65" s="10">
        <v>66.3</v>
      </c>
      <c r="C65" s="10">
        <v>6.0000000000000001E-3</v>
      </c>
      <c r="D65" s="70">
        <v>4615</v>
      </c>
      <c r="E65" s="63">
        <f t="shared" si="13"/>
        <v>4.6092782379753521</v>
      </c>
      <c r="F65" s="63">
        <f t="shared" si="12"/>
        <v>42.293844544937713</v>
      </c>
      <c r="G65" s="74">
        <f>(5.01*(B65^0.59)*$Z$45)/(86.4*I$22)</f>
        <v>77.504401271545049</v>
      </c>
      <c r="H65" s="74">
        <f t="shared" si="8"/>
        <v>36.161590910764914</v>
      </c>
      <c r="I65" s="22">
        <f t="shared" si="9"/>
        <v>0.73197972095511521</v>
      </c>
      <c r="J65" s="32">
        <v>3.9</v>
      </c>
      <c r="K65" s="22"/>
      <c r="L65" s="22"/>
      <c r="M65" s="22">
        <f t="shared" si="11"/>
        <v>30.668360810037996</v>
      </c>
      <c r="N65" s="10">
        <f t="shared" si="10"/>
        <v>0.48296631196910228</v>
      </c>
      <c r="O65" s="22"/>
      <c r="P65" s="22"/>
      <c r="Q65" s="89">
        <v>63.5</v>
      </c>
      <c r="R65" s="89"/>
      <c r="S65" s="10">
        <v>6.9629999999999996E-3</v>
      </c>
      <c r="T65" s="10">
        <v>0.748</v>
      </c>
      <c r="U65" s="10">
        <v>0.68500000000000005</v>
      </c>
      <c r="V65" s="5"/>
      <c r="AC65" s="106"/>
      <c r="AD65" s="106"/>
    </row>
    <row r="66" spans="1:30" x14ac:dyDescent="0.25">
      <c r="A66" s="22" t="s">
        <v>12</v>
      </c>
      <c r="B66" s="32">
        <v>1979</v>
      </c>
      <c r="C66" s="32">
        <v>1979</v>
      </c>
      <c r="D66" s="71">
        <v>1979</v>
      </c>
      <c r="E66" s="32">
        <v>1979</v>
      </c>
      <c r="F66" s="32">
        <v>1979</v>
      </c>
      <c r="G66" s="71">
        <v>1979</v>
      </c>
      <c r="H66" s="71">
        <v>1979</v>
      </c>
      <c r="I66" s="32">
        <v>1979</v>
      </c>
      <c r="J66" s="47" t="s">
        <v>70</v>
      </c>
      <c r="K66" s="49" t="s">
        <v>61</v>
      </c>
      <c r="L66" s="49" t="s">
        <v>62</v>
      </c>
      <c r="M66" s="39" t="s">
        <v>60</v>
      </c>
      <c r="N66" s="39" t="s">
        <v>73</v>
      </c>
      <c r="O66" s="105" t="s">
        <v>57</v>
      </c>
      <c r="P66" s="105"/>
      <c r="Q66" s="89" t="s">
        <v>46</v>
      </c>
      <c r="R66" s="89"/>
      <c r="S66" s="10">
        <v>6.5202999999999997E-3</v>
      </c>
      <c r="T66" s="10">
        <v>0.752</v>
      </c>
      <c r="U66" s="10">
        <v>0.69499999999999995</v>
      </c>
      <c r="V66" s="5"/>
    </row>
    <row r="67" spans="1:30" x14ac:dyDescent="0.25">
      <c r="A67" s="22" t="s">
        <v>0</v>
      </c>
      <c r="B67" s="10">
        <v>32.6</v>
      </c>
      <c r="C67" s="10">
        <v>5.4000000000000003E-3</v>
      </c>
      <c r="D67" s="70">
        <v>3315</v>
      </c>
      <c r="E67" s="63">
        <f>C67*(($Z$45^F$24)*(((0.7*B67)+(0.29*B65)+(0.01*B64))^(F$15)))</f>
        <v>3.3105644355533155</v>
      </c>
      <c r="F67" s="63">
        <f>S68*(($Z$45^U$55)*(((0.7*B67)+(0.29*B65)+(0.01*B64))^(T$55)))</f>
        <v>23.759139287830919</v>
      </c>
      <c r="G67" s="74">
        <f>(5.01*(B67^0.59)*$Z$45)/(86.4*I$11)</f>
        <v>50.983749064102653</v>
      </c>
      <c r="H67" s="74">
        <f t="shared" ref="H67:H78" si="14">L$30^(J67-(0.6458446*LN(P$34))-(9.53942*N67*(P$34/P$33))+(4.8904*N67))</f>
        <v>197.63723379684785</v>
      </c>
      <c r="I67" s="22">
        <f t="shared" ref="I67:I78" si="15">L$30^(K$28-(0.6458446*LN(P$34))-(9.53942*N67*(P$34/P$33))+(4.8904*N67))</f>
        <v>1.7975654069949891</v>
      </c>
      <c r="J67" s="32">
        <v>4.7</v>
      </c>
      <c r="K67" s="22">
        <f>(10^-8)*((P74/P73)^-7.2474)</f>
        <v>8.8839224002565862E-15</v>
      </c>
      <c r="L67" s="22">
        <f>(-3.2951*(P73/P72))+5.33</f>
        <v>3.0487769230769231</v>
      </c>
      <c r="M67" s="22">
        <f>(B67-(0.74*P$68))</f>
        <v>-2.6987609822042842</v>
      </c>
      <c r="N67" s="10">
        <f t="shared" ref="N67:N78" si="16">M67/Q67</f>
        <v>-4.1265458443490582E-2</v>
      </c>
      <c r="O67" s="22" t="s">
        <v>58</v>
      </c>
      <c r="P67" s="22">
        <f>(B67+B68+B69+B70+B71+B72+B73+B74+B75+B76+B77+B78)/12</f>
        <v>63.191666666666663</v>
      </c>
      <c r="Q67" s="89">
        <v>65.400000000000006</v>
      </c>
      <c r="R67" s="89"/>
      <c r="S67" s="32">
        <v>1979</v>
      </c>
      <c r="T67" s="32">
        <v>1979</v>
      </c>
      <c r="U67" s="32">
        <v>1979</v>
      </c>
      <c r="V67" s="5"/>
    </row>
    <row r="68" spans="1:30" x14ac:dyDescent="0.25">
      <c r="A68" s="22" t="s">
        <v>1</v>
      </c>
      <c r="B68" s="10">
        <v>38.700000000000003</v>
      </c>
      <c r="C68" s="10">
        <v>5.5999999999999999E-3</v>
      </c>
      <c r="D68" s="70">
        <v>3173</v>
      </c>
      <c r="E68" s="63">
        <f>C68*(($Z$45^F$24)*(((0.7*B68)+(0.29*B67)+(0.01*B65))^(F$15)))</f>
        <v>3.169335738890295</v>
      </c>
      <c r="F68" s="63">
        <f>S69*(($Z$45^U69)*(((0.7*B68)+(0.29*B67)+(0.01*B65))^(T69)))</f>
        <v>25.165689083355076</v>
      </c>
      <c r="G68" s="74">
        <f>(5.01*(B68^0.59)*$Z$45)/(86.4*I$12)</f>
        <v>62.457775993914197</v>
      </c>
      <c r="H68" s="74">
        <f t="shared" si="14"/>
        <v>166.95828248228344</v>
      </c>
      <c r="I68" s="22">
        <f t="shared" si="15"/>
        <v>1.5185318435995874</v>
      </c>
      <c r="J68" s="32">
        <v>4.7</v>
      </c>
      <c r="K68" s="22"/>
      <c r="L68" s="22"/>
      <c r="M68" s="22">
        <f t="shared" ref="M68:M78" si="17">(B68-(0.74*P$68))</f>
        <v>3.4012390177957172</v>
      </c>
      <c r="N68" s="10">
        <f t="shared" si="16"/>
        <v>5.7163680971356594E-2</v>
      </c>
      <c r="O68" s="22" t="s">
        <v>66</v>
      </c>
      <c r="P68" s="22">
        <f>((((B67-P67)^2+(B68-P67)^2+(B69-P67)^2+(B70-P67)^2+(B71-P67)^2+(B72-P67)^2+(B73-P67)^2+(B74-P67)^2+(B75-P67)^2+(B76-P67)^2+(B77-P67)^2+(B78-P67)^2))/(12-1))^0.5</f>
        <v>47.70102835433012</v>
      </c>
      <c r="Q68" s="89">
        <v>59.5</v>
      </c>
      <c r="R68" s="89"/>
      <c r="S68" s="10">
        <v>6.5925000000000003E-3</v>
      </c>
      <c r="T68" s="10">
        <v>0.74199999999999999</v>
      </c>
      <c r="U68" s="10">
        <v>0.70099999999999996</v>
      </c>
      <c r="V68" s="5"/>
    </row>
    <row r="69" spans="1:30" x14ac:dyDescent="0.25">
      <c r="A69" s="22" t="s">
        <v>2</v>
      </c>
      <c r="B69" s="10">
        <v>133.30000000000001</v>
      </c>
      <c r="C69" s="10">
        <v>6.7999999999999996E-3</v>
      </c>
      <c r="D69" s="70">
        <v>7111</v>
      </c>
      <c r="E69" s="63">
        <f t="shared" ref="E69:E78" si="18">C69*(($Z$45^F$24)*(((0.7*B69)+(0.29*B68)+(0.01*B67))^(F$15)))</f>
        <v>7.1022986676399746</v>
      </c>
      <c r="F69" s="63">
        <f t="shared" ref="F69:F78" si="19">S70*(($Z$45^U70)*(((0.7*B69)+(0.29*B68)+(0.01*B67))^(T70)))</f>
        <v>57.201987425911049</v>
      </c>
      <c r="G69" s="74">
        <f>(5.01*(B69^0.59)*$Z$45)/(86.4*I$13)</f>
        <v>117.02621857093517</v>
      </c>
      <c r="H69" s="74">
        <f t="shared" si="14"/>
        <v>7.5582093986478975</v>
      </c>
      <c r="I69" s="22">
        <f t="shared" si="15"/>
        <v>6.8744008873344878E-2</v>
      </c>
      <c r="J69" s="32">
        <v>4.7</v>
      </c>
      <c r="K69" s="22" t="s">
        <v>72</v>
      </c>
      <c r="L69" s="10">
        <f>EXP(1)</f>
        <v>2.7182818284590451</v>
      </c>
      <c r="M69" s="22">
        <f t="shared" si="17"/>
        <v>98.001239017795726</v>
      </c>
      <c r="N69" s="10">
        <f t="shared" si="16"/>
        <v>1.863141426193835</v>
      </c>
      <c r="O69" s="22"/>
      <c r="P69" s="22"/>
      <c r="Q69" s="89">
        <v>52.6</v>
      </c>
      <c r="R69" s="89"/>
      <c r="S69" s="10">
        <v>6.0033999999999999E-3</v>
      </c>
      <c r="T69" s="10">
        <v>0.75</v>
      </c>
      <c r="U69" s="10">
        <v>0.69</v>
      </c>
      <c r="V69" s="5"/>
    </row>
    <row r="70" spans="1:30" x14ac:dyDescent="0.25">
      <c r="A70" s="22" t="s">
        <v>3</v>
      </c>
      <c r="B70" s="10">
        <v>107.1</v>
      </c>
      <c r="C70" s="10">
        <v>6.4000000000000003E-3</v>
      </c>
      <c r="D70" s="70">
        <v>7032</v>
      </c>
      <c r="E70" s="63">
        <f t="shared" si="18"/>
        <v>7.0237349876447581</v>
      </c>
      <c r="F70" s="63">
        <f t="shared" si="19"/>
        <v>58.80930544460054</v>
      </c>
      <c r="G70" s="74">
        <f>(5.01*(B70^0.59)*$Z$45)/(86.4*I$14)</f>
        <v>106.27952648467652</v>
      </c>
      <c r="H70" s="74">
        <f t="shared" si="14"/>
        <v>28.216004693485534</v>
      </c>
      <c r="I70" s="22">
        <f t="shared" si="15"/>
        <v>0.25663238139000294</v>
      </c>
      <c r="J70" s="32">
        <v>4.7</v>
      </c>
      <c r="K70" s="22"/>
      <c r="L70" s="22"/>
      <c r="M70" s="22">
        <f t="shared" si="17"/>
        <v>71.801239017795709</v>
      </c>
      <c r="N70" s="10">
        <f t="shared" si="16"/>
        <v>1.0945310825883494</v>
      </c>
      <c r="O70" s="22"/>
      <c r="P70" s="22"/>
      <c r="Q70" s="89">
        <v>65.599999999999994</v>
      </c>
      <c r="R70" s="89"/>
      <c r="S70" s="10">
        <v>7.0473999999999997E-3</v>
      </c>
      <c r="T70" s="10">
        <v>0.72499999999999998</v>
      </c>
      <c r="U70" s="10">
        <v>0.69</v>
      </c>
      <c r="V70" s="5"/>
    </row>
    <row r="71" spans="1:30" x14ac:dyDescent="0.25">
      <c r="A71" s="22" t="s">
        <v>4</v>
      </c>
      <c r="B71" s="10">
        <v>139</v>
      </c>
      <c r="C71" s="10">
        <v>6.6E-3</v>
      </c>
      <c r="D71" s="70">
        <v>7826</v>
      </c>
      <c r="E71" s="63">
        <f t="shared" si="18"/>
        <v>7.8166874915164968</v>
      </c>
      <c r="F71" s="63">
        <f t="shared" si="19"/>
        <v>53.823722355689412</v>
      </c>
      <c r="G71" s="74">
        <f>(5.01*(B71^0.59)*$Z$45)/(86.4*I$15)</f>
        <v>119.95327675076328</v>
      </c>
      <c r="H71" s="74">
        <f t="shared" si="14"/>
        <v>11.708223164701662</v>
      </c>
      <c r="I71" s="22">
        <f t="shared" si="15"/>
        <v>0.10648953405145659</v>
      </c>
      <c r="J71" s="32">
        <v>4.7</v>
      </c>
      <c r="K71" s="22" t="s">
        <v>77</v>
      </c>
      <c r="L71" s="22">
        <v>86400</v>
      </c>
      <c r="M71" s="22">
        <f t="shared" si="17"/>
        <v>103.70123901779571</v>
      </c>
      <c r="N71" s="10">
        <f t="shared" si="16"/>
        <v>1.6077711475627243</v>
      </c>
      <c r="O71" s="22"/>
      <c r="P71" s="22"/>
      <c r="Q71" s="89">
        <v>64.5</v>
      </c>
      <c r="R71" s="89"/>
      <c r="S71" s="10">
        <v>6.2335999999999997E-3</v>
      </c>
      <c r="T71" s="10">
        <v>0.72499999999999998</v>
      </c>
      <c r="U71" s="10">
        <v>0.70099999999999996</v>
      </c>
      <c r="V71" s="5"/>
    </row>
    <row r="72" spans="1:30" x14ac:dyDescent="0.25">
      <c r="A72" s="22" t="s">
        <v>5</v>
      </c>
      <c r="B72" s="10">
        <v>33.1</v>
      </c>
      <c r="C72" s="10">
        <v>5.4999999999999997E-3</v>
      </c>
      <c r="D72" s="70">
        <v>4317</v>
      </c>
      <c r="E72" s="63">
        <f t="shared" si="18"/>
        <v>4.3116879641182217</v>
      </c>
      <c r="F72" s="63">
        <f t="shared" si="19"/>
        <v>52.549197242650536</v>
      </c>
      <c r="G72" s="74">
        <f>(5.01*(B72^0.59)*$Z$45)/(86.4*I$16)</f>
        <v>53.158453682514136</v>
      </c>
      <c r="H72" s="74">
        <f t="shared" si="14"/>
        <v>88.255587105987246</v>
      </c>
      <c r="I72" s="22">
        <f t="shared" si="15"/>
        <v>1.7864617787968864</v>
      </c>
      <c r="J72" s="32">
        <v>3.9</v>
      </c>
      <c r="K72" s="22" t="s">
        <v>78</v>
      </c>
      <c r="L72" s="22">
        <f>L71*15</f>
        <v>1296000</v>
      </c>
      <c r="M72" s="22">
        <f t="shared" si="17"/>
        <v>-2.1987609822042842</v>
      </c>
      <c r="N72" s="10">
        <f t="shared" si="16"/>
        <v>-3.7650016818566508E-2</v>
      </c>
      <c r="O72" s="22" t="s">
        <v>67</v>
      </c>
      <c r="P72" s="22">
        <v>0.65</v>
      </c>
      <c r="Q72" s="89">
        <v>58.4</v>
      </c>
      <c r="R72" s="89"/>
      <c r="S72" s="10">
        <v>7.0219999999999996E-3</v>
      </c>
      <c r="T72" s="10">
        <v>0.7</v>
      </c>
      <c r="U72" s="10">
        <v>0.67900000000000005</v>
      </c>
      <c r="V72" s="5"/>
    </row>
    <row r="73" spans="1:30" x14ac:dyDescent="0.25">
      <c r="A73" s="22" t="s">
        <v>6</v>
      </c>
      <c r="B73" s="10">
        <v>7.3</v>
      </c>
      <c r="C73" s="10">
        <v>4.4999999999999997E-3</v>
      </c>
      <c r="D73" s="70">
        <v>1554</v>
      </c>
      <c r="E73" s="63">
        <f t="shared" si="18"/>
        <v>1.551791827761599</v>
      </c>
      <c r="F73" s="63">
        <f t="shared" si="19"/>
        <v>30.075518238556644</v>
      </c>
      <c r="G73" s="74">
        <f>(5.01*(B73^0.59)*$Z$45)/(86.4*I$17)</f>
        <v>21.085983937966848</v>
      </c>
      <c r="H73" s="74">
        <f t="shared" si="14"/>
        <v>42.717326691257355</v>
      </c>
      <c r="I73" s="22">
        <f t="shared" si="15"/>
        <v>3.8752284474260934</v>
      </c>
      <c r="J73" s="32">
        <v>2.4</v>
      </c>
      <c r="K73" s="22"/>
      <c r="L73" s="22"/>
      <c r="M73" s="22">
        <f t="shared" si="17"/>
        <v>-27.998760982204285</v>
      </c>
      <c r="N73" s="10">
        <f t="shared" si="16"/>
        <v>-0.48948882836021473</v>
      </c>
      <c r="O73" s="22" t="s">
        <v>68</v>
      </c>
      <c r="P73" s="22">
        <v>0.45</v>
      </c>
      <c r="Q73" s="89">
        <v>57.2</v>
      </c>
      <c r="R73" s="89"/>
      <c r="S73" s="10">
        <v>7.0263000000000001E-3</v>
      </c>
      <c r="T73" s="10">
        <v>0.73299999999999998</v>
      </c>
      <c r="U73" s="10">
        <v>0.71899999999999997</v>
      </c>
      <c r="V73" s="5"/>
    </row>
    <row r="74" spans="1:30" x14ac:dyDescent="0.25">
      <c r="A74" s="22" t="s">
        <v>7</v>
      </c>
      <c r="B74" s="10">
        <v>72.8</v>
      </c>
      <c r="C74" s="10">
        <v>6.1999999999999998E-3</v>
      </c>
      <c r="D74" s="58">
        <v>4.3499999999999996</v>
      </c>
      <c r="E74" s="63">
        <f t="shared" si="18"/>
        <v>4.3451795305995624</v>
      </c>
      <c r="F74" s="63">
        <f t="shared" si="19"/>
        <v>17.477326326910884</v>
      </c>
      <c r="G74" s="74">
        <f>(5.01*(B74^0.59)*$Z$45)/(86.4*I$18)</f>
        <v>81.901319314361743</v>
      </c>
      <c r="H74" s="74">
        <f t="shared" si="14"/>
        <v>1.6163927927453876</v>
      </c>
      <c r="I74" s="22">
        <f t="shared" si="15"/>
        <v>0.53805042060292718</v>
      </c>
      <c r="J74" s="32">
        <v>1.1000000000000001</v>
      </c>
      <c r="K74" s="22"/>
      <c r="L74" s="22"/>
      <c r="M74" s="22">
        <f t="shared" si="17"/>
        <v>37.501239017795712</v>
      </c>
      <c r="N74" s="10">
        <f t="shared" si="16"/>
        <v>0.66256606038508326</v>
      </c>
      <c r="O74" s="22" t="s">
        <v>69</v>
      </c>
      <c r="P74" s="22">
        <f>-1+(EXP(1)*(0.5*P75))</f>
        <v>3.0774227426885679</v>
      </c>
      <c r="Q74" s="89">
        <v>56.6</v>
      </c>
      <c r="R74" s="89"/>
      <c r="S74" s="10">
        <v>7.0289999999999997E-3</v>
      </c>
      <c r="T74" s="10">
        <v>0.77800000000000002</v>
      </c>
      <c r="U74" s="10">
        <v>0.76</v>
      </c>
      <c r="V74" s="5"/>
    </row>
    <row r="75" spans="1:30" x14ac:dyDescent="0.25">
      <c r="A75" s="22" t="s">
        <v>8</v>
      </c>
      <c r="B75" s="10">
        <v>112.8</v>
      </c>
      <c r="C75" s="10">
        <v>6.6E-3</v>
      </c>
      <c r="D75" s="70">
        <v>6716</v>
      </c>
      <c r="E75" s="63">
        <f t="shared" si="18"/>
        <v>6.7084206431086733</v>
      </c>
      <c r="F75" s="63">
        <f t="shared" si="19"/>
        <v>22.060803060686379</v>
      </c>
      <c r="G75" s="74">
        <f>(5.01*(B75^0.59)*$Z$45)/(86.4*I$19)</f>
        <v>109.581235276512</v>
      </c>
      <c r="H75" s="74">
        <f t="shared" si="14"/>
        <v>0.45164293830426488</v>
      </c>
      <c r="I75" s="22">
        <f t="shared" si="15"/>
        <v>0.15033887431792695</v>
      </c>
      <c r="J75" s="32">
        <v>1.1000000000000001</v>
      </c>
      <c r="K75" s="22"/>
      <c r="L75" s="22"/>
      <c r="M75" s="22">
        <f t="shared" si="17"/>
        <v>77.501239017795712</v>
      </c>
      <c r="N75" s="10">
        <f t="shared" si="16"/>
        <v>1.4065560620289603</v>
      </c>
      <c r="O75" s="22" t="s">
        <v>74</v>
      </c>
      <c r="P75" s="22">
        <v>3</v>
      </c>
      <c r="Q75" s="89">
        <v>55.1</v>
      </c>
      <c r="R75" s="89"/>
      <c r="S75" s="10">
        <v>6.0689999999999997E-3</v>
      </c>
      <c r="T75" s="10">
        <v>0.69</v>
      </c>
      <c r="U75" s="10">
        <v>0.64</v>
      </c>
      <c r="V75" s="5"/>
    </row>
    <row r="76" spans="1:30" ht="18.75" x14ac:dyDescent="0.3">
      <c r="A76" s="22" t="s">
        <v>9</v>
      </c>
      <c r="B76" s="10">
        <v>42.8</v>
      </c>
      <c r="C76" s="10">
        <v>5.7000000000000002E-3</v>
      </c>
      <c r="D76" s="70">
        <v>4426</v>
      </c>
      <c r="E76" s="63">
        <f t="shared" si="18"/>
        <v>4.4211842468751712</v>
      </c>
      <c r="F76" s="63">
        <f t="shared" si="19"/>
        <v>27.52753544794643</v>
      </c>
      <c r="G76" s="74">
        <f>(5.01*(B76^0.59)*$Z$45)/(86.4*I$20)</f>
        <v>59.866684586616707</v>
      </c>
      <c r="H76" s="74">
        <f t="shared" si="14"/>
        <v>14.808509497206938</v>
      </c>
      <c r="I76" s="22">
        <f t="shared" si="15"/>
        <v>1.3433976728534531</v>
      </c>
      <c r="J76" s="32">
        <v>2.4</v>
      </c>
      <c r="K76" s="22"/>
      <c r="L76" s="22"/>
      <c r="M76" s="22">
        <f t="shared" si="17"/>
        <v>7.5012390177957116</v>
      </c>
      <c r="N76" s="10">
        <f t="shared" si="16"/>
        <v>0.12866619241502078</v>
      </c>
      <c r="O76" s="45" t="s">
        <v>75</v>
      </c>
      <c r="P76" s="10"/>
      <c r="Q76" s="89">
        <v>58.3</v>
      </c>
      <c r="R76" s="89"/>
      <c r="S76" s="10">
        <v>6.3410000000000003E-3</v>
      </c>
      <c r="T76" s="10">
        <v>0.69</v>
      </c>
      <c r="U76" s="10">
        <v>0.61</v>
      </c>
      <c r="V76" s="5"/>
    </row>
    <row r="77" spans="1:30" x14ac:dyDescent="0.25">
      <c r="A77" s="22" t="s">
        <v>10</v>
      </c>
      <c r="B77" s="10">
        <v>25.3</v>
      </c>
      <c r="C77" s="10">
        <v>5.3E-3</v>
      </c>
      <c r="D77" s="70">
        <v>2709</v>
      </c>
      <c r="E77" s="63">
        <f t="shared" si="18"/>
        <v>2.7054810001077216</v>
      </c>
      <c r="F77" s="63">
        <f t="shared" si="19"/>
        <v>27.056263080171821</v>
      </c>
      <c r="G77" s="74">
        <f>(5.01*(B77^0.59)*$Z$45)/(86.4*I$21)</f>
        <v>45.364374860468608</v>
      </c>
      <c r="H77" s="74">
        <f t="shared" si="14"/>
        <v>110.51724772246646</v>
      </c>
      <c r="I77" s="22">
        <f t="shared" si="15"/>
        <v>2.2370803416322138</v>
      </c>
      <c r="J77" s="32">
        <v>3.9</v>
      </c>
      <c r="K77" s="22"/>
      <c r="L77" s="22"/>
      <c r="M77" s="22">
        <f t="shared" si="17"/>
        <v>-9.9987609822042849</v>
      </c>
      <c r="N77" s="10">
        <f t="shared" si="16"/>
        <v>-0.16889798956426155</v>
      </c>
      <c r="O77" s="10"/>
      <c r="P77" s="22"/>
      <c r="Q77" s="89">
        <v>59.2</v>
      </c>
      <c r="R77" s="89"/>
      <c r="S77" s="10">
        <v>7.0155E-3</v>
      </c>
      <c r="T77" s="10">
        <v>0.73799999999999999</v>
      </c>
      <c r="U77" s="10">
        <v>0.63900000000000001</v>
      </c>
      <c r="V77" s="5"/>
    </row>
    <row r="78" spans="1:30" x14ac:dyDescent="0.25">
      <c r="A78" s="22" t="s">
        <v>11</v>
      </c>
      <c r="B78" s="10">
        <v>13.5</v>
      </c>
      <c r="C78" s="10">
        <v>4.7000000000000002E-3</v>
      </c>
      <c r="D78" s="70">
        <v>1688</v>
      </c>
      <c r="E78" s="63">
        <f t="shared" si="18"/>
        <v>1.6862919566742054</v>
      </c>
      <c r="F78" s="63">
        <f t="shared" si="19"/>
        <v>24.92407532973613</v>
      </c>
      <c r="G78" s="74">
        <f>(5.01*(B78^0.59)*$Z$45)/(86.4*I$22)</f>
        <v>30.306117820938017</v>
      </c>
      <c r="H78" s="74">
        <f t="shared" si="14"/>
        <v>149.01439054050743</v>
      </c>
      <c r="I78" s="22">
        <f t="shared" si="15"/>
        <v>3.0163360974714903</v>
      </c>
      <c r="J78" s="32">
        <v>3.9</v>
      </c>
      <c r="K78" s="22"/>
      <c r="L78" s="22"/>
      <c r="M78" s="22">
        <f t="shared" si="17"/>
        <v>-21.798760982204286</v>
      </c>
      <c r="N78" s="10">
        <f t="shared" si="16"/>
        <v>-0.34328757452290215</v>
      </c>
      <c r="O78" s="22"/>
      <c r="P78" s="22"/>
      <c r="Q78" s="89">
        <v>63.5</v>
      </c>
      <c r="R78" s="89"/>
      <c r="S78" s="10">
        <v>7.0089999999999996E-3</v>
      </c>
      <c r="T78" s="10">
        <v>0.73799999999999999</v>
      </c>
      <c r="U78" s="10">
        <v>0.70099999999999996</v>
      </c>
      <c r="V78" s="5"/>
    </row>
    <row r="79" spans="1:30" x14ac:dyDescent="0.25">
      <c r="A79" s="22" t="s">
        <v>12</v>
      </c>
      <c r="B79" s="32">
        <v>1980</v>
      </c>
      <c r="C79" s="32">
        <v>1980</v>
      </c>
      <c r="D79" s="71">
        <v>1980</v>
      </c>
      <c r="E79" s="32">
        <v>1980</v>
      </c>
      <c r="F79" s="32">
        <v>1980</v>
      </c>
      <c r="G79" s="71">
        <v>1980</v>
      </c>
      <c r="H79" s="71">
        <v>1980</v>
      </c>
      <c r="I79" s="32">
        <v>1980</v>
      </c>
      <c r="J79" s="47" t="s">
        <v>70</v>
      </c>
      <c r="K79" s="49" t="s">
        <v>61</v>
      </c>
      <c r="L79" s="49" t="s">
        <v>62</v>
      </c>
      <c r="M79" s="39" t="s">
        <v>60</v>
      </c>
      <c r="N79" s="39" t="s">
        <v>73</v>
      </c>
      <c r="O79" s="105" t="s">
        <v>57</v>
      </c>
      <c r="P79" s="105"/>
      <c r="Q79" s="10"/>
      <c r="R79" s="10"/>
      <c r="S79" s="10">
        <v>7.2110000000000004E-3</v>
      </c>
      <c r="T79" s="10">
        <v>0.78500000000000003</v>
      </c>
      <c r="U79" s="10">
        <v>0.72499999999999998</v>
      </c>
      <c r="V79" s="5"/>
    </row>
    <row r="80" spans="1:30" x14ac:dyDescent="0.25">
      <c r="A80" s="22" t="s">
        <v>0</v>
      </c>
      <c r="B80" s="10">
        <v>102.9</v>
      </c>
      <c r="C80" s="10">
        <v>6.4000000000000003E-3</v>
      </c>
      <c r="D80" s="70">
        <v>5541</v>
      </c>
      <c r="E80" s="63">
        <f>C80*(($Z$45^F$24)*(((0.7*B80)+(0.29*B78)+(0.01*B77))^(F$15)))</f>
        <v>5.5343672758704852</v>
      </c>
      <c r="F80" s="63">
        <f>S81*(($Z$45^U$55)*(((0.7*B80)+(0.29*B78)+(0.01*B77))^(T$55)))</f>
        <v>38.362480574610245</v>
      </c>
      <c r="G80" s="74">
        <f>(5.01*(B80^0.59)*$Z$45)/(86.4*I$11)</f>
        <v>100.4519692429954</v>
      </c>
      <c r="H80" s="74">
        <f t="shared" ref="H80:H91" si="20">L$30^(J80-(0.6458446*LN(P$34))-(9.53942*N80*(P$34/P$33))+(4.8904*N80))</f>
        <v>34.687384868732956</v>
      </c>
      <c r="I80" s="22">
        <f t="shared" ref="I80:I91" si="21">L$30^(K$28-(0.6458446*LN(P$34))-(9.53942*N80*(P$34/P$33))+(4.8904*N80))</f>
        <v>0.31549137731429955</v>
      </c>
      <c r="J80" s="32">
        <v>4.7</v>
      </c>
      <c r="K80" s="22">
        <f>(10^-8)*((P87/P86)^-7.2474)</f>
        <v>8.8839224002565862E-15</v>
      </c>
      <c r="L80" s="22">
        <f>(-3.2951*(P86/P85))+5.33</f>
        <v>3.0487769230769231</v>
      </c>
      <c r="M80" s="22">
        <f>(B80-(0.74*P$81))</f>
        <v>63.702695774898608</v>
      </c>
      <c r="N80" s="10">
        <f t="shared" ref="N80:N91" si="22">M80/Q80</f>
        <v>0.97404733600762394</v>
      </c>
      <c r="O80" s="22" t="s">
        <v>58</v>
      </c>
      <c r="P80" s="22">
        <f>(B80+B81+B82+B83+B84+B85+B86+B87+B88+B89+B90+B91)/12</f>
        <v>73.191666666666677</v>
      </c>
      <c r="Q80" s="89">
        <v>65.400000000000006</v>
      </c>
      <c r="R80" s="89"/>
      <c r="S80" s="32">
        <v>1980</v>
      </c>
      <c r="T80" s="32">
        <v>1980</v>
      </c>
      <c r="U80" s="32">
        <v>1980</v>
      </c>
      <c r="V80" s="5"/>
    </row>
    <row r="81" spans="1:22" x14ac:dyDescent="0.25">
      <c r="A81" s="22" t="s">
        <v>1</v>
      </c>
      <c r="B81" s="10">
        <v>158.30000000000001</v>
      </c>
      <c r="C81" s="10">
        <v>6.8999999999999999E-3</v>
      </c>
      <c r="D81" s="70">
        <v>8589</v>
      </c>
      <c r="E81" s="63">
        <f>C81*(($Z$45^F$24)*(((0.7*B81)+(0.29*B80)+(0.01*B78))^(F$15)))</f>
        <v>8.57844167839629</v>
      </c>
      <c r="F81" s="63">
        <f>S82*(($Z$45^U82)*(((0.7*B81)+(0.29*B80)+(0.01*B78))^(T82)))</f>
        <v>56.563496430385896</v>
      </c>
      <c r="G81" s="74">
        <f>(5.01*(B81^0.59)*$Z$45)/(86.4*J$12)</f>
        <v>138.44931762997791</v>
      </c>
      <c r="H81" s="74">
        <f t="shared" si="20"/>
        <v>5.9603319983195417</v>
      </c>
      <c r="I81" s="22">
        <f t="shared" si="21"/>
        <v>5.421087114282102E-2</v>
      </c>
      <c r="J81" s="32">
        <v>4.7</v>
      </c>
      <c r="K81" s="22"/>
      <c r="L81" s="22"/>
      <c r="M81" s="22">
        <f t="shared" ref="M81:M91" si="23">(B81-(0.74*P$81))</f>
        <v>119.10269577489862</v>
      </c>
      <c r="N81" s="10">
        <f t="shared" si="22"/>
        <v>2.001725979410061</v>
      </c>
      <c r="O81" s="22" t="s">
        <v>66</v>
      </c>
      <c r="P81" s="22">
        <f>((((B80-P80)^2+(B81-P80)^2+(B82-P80)^2+(B83-P80)^2+(B84-P80)^2+(B85-P80)^2+(B86-P80)^2+(B87-P80)^2+(B88-P80)^2+(B89-P80)^2+(B90-P80)^2+(B91-P80)^2))/(12-1))^0.5</f>
        <v>52.969330033920805</v>
      </c>
      <c r="Q81" s="89">
        <v>59.5</v>
      </c>
      <c r="R81" s="89"/>
      <c r="S81" s="10">
        <v>6.9863E-3</v>
      </c>
      <c r="T81" s="10">
        <v>0.69399999999999995</v>
      </c>
      <c r="U81" s="10">
        <v>0.65900000000000003</v>
      </c>
      <c r="V81" s="5"/>
    </row>
    <row r="82" spans="1:22" x14ac:dyDescent="0.25">
      <c r="A82" s="22" t="s">
        <v>2</v>
      </c>
      <c r="B82" s="10">
        <v>66.8</v>
      </c>
      <c r="C82" s="10">
        <v>6.1999999999999998E-3</v>
      </c>
      <c r="D82" s="70">
        <v>6066</v>
      </c>
      <c r="E82" s="63">
        <f t="shared" ref="E82:E91" si="24">C82*(($Z$45^F$24)*(((0.7*B82)+(0.29*B81)+(0.01*B80))^(F$15)))</f>
        <v>6.0586002353181749</v>
      </c>
      <c r="F82" s="63">
        <f t="shared" ref="F82:F91" si="25">S83*(($Z$45^U83)*(((0.7*B82)+(0.29*B81)+(0.01*B80))^(T83)))</f>
        <v>66.373572008614644</v>
      </c>
      <c r="G82" s="74">
        <f>(5.01*(B82^0.59)*$Z$45)/(86.4*I$13)</f>
        <v>77.848723678732242</v>
      </c>
      <c r="H82" s="74">
        <f t="shared" si="20"/>
        <v>74.915477460903048</v>
      </c>
      <c r="I82" s="22">
        <f t="shared" si="21"/>
        <v>0.68137702671276623</v>
      </c>
      <c r="J82" s="32">
        <v>4.7</v>
      </c>
      <c r="K82" s="22" t="s">
        <v>72</v>
      </c>
      <c r="L82" s="10">
        <f>EXP(1)</f>
        <v>2.7182818284590451</v>
      </c>
      <c r="M82" s="22">
        <f t="shared" si="23"/>
        <v>27.602695774898599</v>
      </c>
      <c r="N82" s="10">
        <f t="shared" si="22"/>
        <v>0.52476607937069575</v>
      </c>
      <c r="O82" s="22"/>
      <c r="P82" s="22"/>
      <c r="Q82" s="89">
        <v>52.6</v>
      </c>
      <c r="R82" s="89"/>
      <c r="S82" s="10">
        <v>6.9154999999999998E-3</v>
      </c>
      <c r="T82" s="10">
        <v>0.71799999999999997</v>
      </c>
      <c r="U82" s="10">
        <v>0.66900000000000004</v>
      </c>
      <c r="V82" s="5"/>
    </row>
    <row r="83" spans="1:22" x14ac:dyDescent="0.25">
      <c r="A83" s="22" t="s">
        <v>3</v>
      </c>
      <c r="B83" s="10">
        <v>130</v>
      </c>
      <c r="C83" s="10">
        <v>6.6E-3</v>
      </c>
      <c r="D83" s="70">
        <v>7174</v>
      </c>
      <c r="E83" s="63">
        <f t="shared" si="24"/>
        <v>7.1655823276262618</v>
      </c>
      <c r="F83" s="63">
        <f t="shared" si="25"/>
        <v>81.563789023220167</v>
      </c>
      <c r="G83" s="74">
        <f>(5.01*(B83^0.59)*$Z$45)/(86.4*I$14)</f>
        <v>119.15174330250586</v>
      </c>
      <c r="H83" s="74">
        <f t="shared" si="20"/>
        <v>17.175299753783616</v>
      </c>
      <c r="I83" s="22">
        <f t="shared" si="21"/>
        <v>0.15621411056535114</v>
      </c>
      <c r="J83" s="32">
        <v>4.7</v>
      </c>
      <c r="K83" s="22"/>
      <c r="L83" s="22"/>
      <c r="M83" s="22">
        <f t="shared" si="23"/>
        <v>90.802695774898609</v>
      </c>
      <c r="N83" s="10">
        <f t="shared" si="22"/>
        <v>1.3841874355929666</v>
      </c>
      <c r="O83" s="22"/>
      <c r="P83" s="22"/>
      <c r="Q83" s="89">
        <v>65.599999999999994</v>
      </c>
      <c r="R83" s="89"/>
      <c r="S83" s="10">
        <v>6.4530000000000004E-3</v>
      </c>
      <c r="T83" s="10">
        <v>0.76100000000000001</v>
      </c>
      <c r="U83" s="10">
        <v>0.70899999999999996</v>
      </c>
      <c r="V83" s="5"/>
    </row>
    <row r="84" spans="1:22" x14ac:dyDescent="0.25">
      <c r="A84" s="22" t="s">
        <v>4</v>
      </c>
      <c r="B84" s="10">
        <v>40.4</v>
      </c>
      <c r="C84" s="10">
        <v>5.5999999999999999E-3</v>
      </c>
      <c r="D84" s="70">
        <v>4479</v>
      </c>
      <c r="E84" s="63">
        <f t="shared" si="24"/>
        <v>4.4738711067349053</v>
      </c>
      <c r="F84" s="63">
        <f t="shared" si="25"/>
        <v>61.030590229039923</v>
      </c>
      <c r="G84" s="74">
        <f>(5.01*(B84^0.59)*$Z$45)/(86.4*I$15)</f>
        <v>57.86265928280087</v>
      </c>
      <c r="H84" s="74">
        <f t="shared" si="20"/>
        <v>178.35132591403797</v>
      </c>
      <c r="I84" s="22">
        <f t="shared" si="21"/>
        <v>1.6221547306430513</v>
      </c>
      <c r="J84" s="32">
        <v>4.7</v>
      </c>
      <c r="K84" s="22" t="s">
        <v>77</v>
      </c>
      <c r="L84" s="22">
        <v>86400</v>
      </c>
      <c r="M84" s="22">
        <f t="shared" si="23"/>
        <v>1.2026957748986007</v>
      </c>
      <c r="N84" s="10">
        <f t="shared" si="22"/>
        <v>1.8646446122458925E-2</v>
      </c>
      <c r="O84" s="22"/>
      <c r="P84" s="22"/>
      <c r="Q84" s="89">
        <v>64.5</v>
      </c>
      <c r="R84" s="89"/>
      <c r="S84" s="10">
        <v>7.0847000000000002E-3</v>
      </c>
      <c r="T84" s="10">
        <v>0.77</v>
      </c>
      <c r="U84" s="10">
        <v>0.70099999999999996</v>
      </c>
      <c r="V84" s="5"/>
    </row>
    <row r="85" spans="1:22" x14ac:dyDescent="0.25">
      <c r="A85" s="22" t="s">
        <v>5</v>
      </c>
      <c r="B85" s="10">
        <v>11.1</v>
      </c>
      <c r="C85" s="10">
        <v>4.7000000000000002E-3</v>
      </c>
      <c r="D85" s="70">
        <v>1887</v>
      </c>
      <c r="E85" s="63">
        <f t="shared" si="24"/>
        <v>1.885147946234901</v>
      </c>
      <c r="F85" s="63">
        <f t="shared" si="25"/>
        <v>51.943122831596796</v>
      </c>
      <c r="G85" s="74">
        <f>(5.01*(B85^0.59)*$Z$45)/(86.4*I$16)</f>
        <v>27.900653813684023</v>
      </c>
      <c r="H85" s="74">
        <f t="shared" si="20"/>
        <v>188.71896597413479</v>
      </c>
      <c r="I85" s="22">
        <f t="shared" si="21"/>
        <v>3.820032597392244</v>
      </c>
      <c r="J85" s="32">
        <v>3.9</v>
      </c>
      <c r="K85" s="22" t="s">
        <v>78</v>
      </c>
      <c r="L85" s="22">
        <f>L84*15</f>
        <v>1296000</v>
      </c>
      <c r="M85" s="22">
        <f t="shared" si="23"/>
        <v>-28.097304225101396</v>
      </c>
      <c r="N85" s="10">
        <f t="shared" si="22"/>
        <v>-0.48111822303255819</v>
      </c>
      <c r="O85" s="22" t="s">
        <v>67</v>
      </c>
      <c r="P85" s="22">
        <v>0.65</v>
      </c>
      <c r="Q85" s="89">
        <v>58.4</v>
      </c>
      <c r="R85" s="89"/>
      <c r="S85" s="10">
        <v>7.0016999999999996E-3</v>
      </c>
      <c r="T85" s="10">
        <v>0.76</v>
      </c>
      <c r="U85" s="10">
        <v>0.72099999999999997</v>
      </c>
      <c r="V85" s="5"/>
    </row>
    <row r="86" spans="1:22" x14ac:dyDescent="0.25">
      <c r="A86" s="22" t="s">
        <v>6</v>
      </c>
      <c r="B86" s="10">
        <v>4.2</v>
      </c>
      <c r="C86" s="10">
        <v>4.1999999999999997E-3</v>
      </c>
      <c r="D86" s="58">
        <v>0.85299999999999998</v>
      </c>
      <c r="E86" s="63">
        <f t="shared" si="24"/>
        <v>0.8519449308061996</v>
      </c>
      <c r="F86" s="63">
        <f t="shared" si="25"/>
        <v>27.400739178508569</v>
      </c>
      <c r="G86" s="74">
        <f>(5.01*(B86^0.59)*$Z$45)/(86.4*I$17)</f>
        <v>15.217750703361483</v>
      </c>
      <c r="H86" s="74">
        <f t="shared" si="20"/>
        <v>52.683032085736336</v>
      </c>
      <c r="I86" s="22">
        <f t="shared" si="21"/>
        <v>4.7792968438984902</v>
      </c>
      <c r="J86" s="32">
        <v>2.4</v>
      </c>
      <c r="K86" s="22"/>
      <c r="L86" s="22"/>
      <c r="M86" s="22">
        <f t="shared" si="23"/>
        <v>-34.997304225101395</v>
      </c>
      <c r="N86" s="10">
        <f t="shared" si="22"/>
        <v>-0.61184098295631806</v>
      </c>
      <c r="O86" s="22" t="s">
        <v>68</v>
      </c>
      <c r="P86" s="22">
        <v>0.45</v>
      </c>
      <c r="Q86" s="89">
        <v>57.2</v>
      </c>
      <c r="R86" s="89"/>
      <c r="S86" s="10">
        <v>7.3699000000000004E-3</v>
      </c>
      <c r="T86" s="10">
        <v>0.79900000000000004</v>
      </c>
      <c r="U86" s="10">
        <v>0.78900000000000003</v>
      </c>
      <c r="V86" s="5"/>
    </row>
    <row r="87" spans="1:22" x14ac:dyDescent="0.25">
      <c r="A87" s="22" t="s">
        <v>7</v>
      </c>
      <c r="B87" s="10">
        <v>21.7</v>
      </c>
      <c r="C87" s="10">
        <v>5.1999999999999998E-3</v>
      </c>
      <c r="D87" s="70">
        <v>1823</v>
      </c>
      <c r="E87" s="63">
        <f t="shared" si="24"/>
        <v>1.8207016614068201</v>
      </c>
      <c r="F87" s="63">
        <f t="shared" si="25"/>
        <v>22.74472848560832</v>
      </c>
      <c r="G87" s="74">
        <f>(5.01*(B87^0.59)*$Z$45)/(86.4*I$18)</f>
        <v>40.100023475110135</v>
      </c>
      <c r="H87" s="74">
        <f t="shared" si="20"/>
        <v>8.5464816667046222</v>
      </c>
      <c r="I87" s="22">
        <f t="shared" si="21"/>
        <v>2.8448766142017625</v>
      </c>
      <c r="J87" s="32">
        <v>1.1000000000000001</v>
      </c>
      <c r="K87" s="22"/>
      <c r="L87" s="22"/>
      <c r="M87" s="22">
        <f t="shared" si="23"/>
        <v>-17.497304225101399</v>
      </c>
      <c r="N87" s="10">
        <f t="shared" si="22"/>
        <v>-0.30913965062016602</v>
      </c>
      <c r="O87" s="22" t="s">
        <v>69</v>
      </c>
      <c r="P87" s="22">
        <f>-1+(EXP(1)*(0.5*P88))</f>
        <v>3.0774227426885679</v>
      </c>
      <c r="Q87" s="89">
        <v>56.6</v>
      </c>
      <c r="R87" s="89"/>
      <c r="S87" s="10">
        <v>7.2313999999999998E-3</v>
      </c>
      <c r="T87" s="10">
        <v>0.85899999999999999</v>
      </c>
      <c r="U87" s="10">
        <v>0.81200000000000006</v>
      </c>
      <c r="V87" s="5"/>
    </row>
    <row r="88" spans="1:22" x14ac:dyDescent="0.25">
      <c r="A88" s="22" t="s">
        <v>8</v>
      </c>
      <c r="B88" s="10">
        <v>39.799999999999997</v>
      </c>
      <c r="C88" s="10">
        <v>5.7000000000000002E-3</v>
      </c>
      <c r="D88" s="70">
        <v>3073</v>
      </c>
      <c r="E88" s="63">
        <f t="shared" si="24"/>
        <v>3.0688373821312833</v>
      </c>
      <c r="F88" s="63">
        <f t="shared" si="25"/>
        <v>21.464736887920498</v>
      </c>
      <c r="G88" s="74">
        <f>(5.01*(B88^0.59)*$Z$45)/(86.4*I$19)</f>
        <v>59.265893399764359</v>
      </c>
      <c r="H88" s="74">
        <f t="shared" si="20"/>
        <v>4.9380267858824176</v>
      </c>
      <c r="I88" s="22">
        <f t="shared" si="21"/>
        <v>1.6437263275468392</v>
      </c>
      <c r="J88" s="32">
        <v>1.1000000000000001</v>
      </c>
      <c r="K88" s="22"/>
      <c r="L88" s="22"/>
      <c r="M88" s="22">
        <f t="shared" si="23"/>
        <v>0.60269577489859927</v>
      </c>
      <c r="N88" s="10">
        <f t="shared" si="22"/>
        <v>1.0938217330283108E-2</v>
      </c>
      <c r="O88" s="22" t="s">
        <v>74</v>
      </c>
      <c r="P88" s="22">
        <v>3</v>
      </c>
      <c r="Q88" s="89">
        <v>55.1</v>
      </c>
      <c r="R88" s="89"/>
      <c r="S88" s="10">
        <v>7.0155E-3</v>
      </c>
      <c r="T88" s="10">
        <v>0.76500000000000001</v>
      </c>
      <c r="U88" s="10">
        <v>0.72799999999999998</v>
      </c>
      <c r="V88" s="5"/>
    </row>
    <row r="89" spans="1:22" ht="18.75" x14ac:dyDescent="0.3">
      <c r="A89" s="22" t="s">
        <v>9</v>
      </c>
      <c r="B89" s="10">
        <v>124</v>
      </c>
      <c r="C89" s="10">
        <v>6.6E-3</v>
      </c>
      <c r="D89" s="70">
        <v>6653</v>
      </c>
      <c r="E89" s="63">
        <f t="shared" si="24"/>
        <v>6.6453867239139628</v>
      </c>
      <c r="F89" s="63">
        <f t="shared" si="25"/>
        <v>38.79127468290757</v>
      </c>
      <c r="G89" s="74">
        <f>(5.01*(B89^0.59)*$Z$45)/(86.4*I$20)</f>
        <v>112.13783785125712</v>
      </c>
      <c r="H89" s="74">
        <f t="shared" si="20"/>
        <v>1.5262480938801488</v>
      </c>
      <c r="I89" s="22">
        <f t="shared" si="21"/>
        <v>0.13845810328867564</v>
      </c>
      <c r="J89" s="32">
        <v>2.4</v>
      </c>
      <c r="K89" s="22"/>
      <c r="L89" s="22"/>
      <c r="M89" s="22">
        <f t="shared" si="23"/>
        <v>84.802695774898609</v>
      </c>
      <c r="N89" s="10">
        <f t="shared" si="22"/>
        <v>1.4545916942521202</v>
      </c>
      <c r="O89" s="45" t="s">
        <v>75</v>
      </c>
      <c r="P89" s="10"/>
      <c r="Q89" s="89">
        <v>58.3</v>
      </c>
      <c r="R89" s="89"/>
      <c r="S89" s="10">
        <v>5.8545000000000003E-3</v>
      </c>
      <c r="T89" s="10">
        <v>0.73</v>
      </c>
      <c r="U89" s="10">
        <v>0.69</v>
      </c>
      <c r="V89" s="5"/>
    </row>
    <row r="90" spans="1:22" x14ac:dyDescent="0.25">
      <c r="A90" s="22" t="s">
        <v>10</v>
      </c>
      <c r="B90" s="10">
        <v>127.6</v>
      </c>
      <c r="C90" s="10">
        <v>6.6E-3</v>
      </c>
      <c r="D90" s="70">
        <v>7682</v>
      </c>
      <c r="E90" s="63">
        <f t="shared" si="24"/>
        <v>7.6726977454384997</v>
      </c>
      <c r="F90" s="63">
        <f t="shared" si="25"/>
        <v>36.729033096593675</v>
      </c>
      <c r="G90" s="74">
        <f>(5.01*(B90^0.59)*$Z$45)/(86.4*I$21)</f>
        <v>117.84895093724337</v>
      </c>
      <c r="H90" s="74">
        <f t="shared" si="20"/>
        <v>6.4012475190537064</v>
      </c>
      <c r="I90" s="22">
        <f t="shared" si="21"/>
        <v>0.1295734854233615</v>
      </c>
      <c r="J90" s="32">
        <v>3.9</v>
      </c>
      <c r="K90" s="22"/>
      <c r="L90" s="22"/>
      <c r="M90" s="22">
        <f t="shared" si="23"/>
        <v>88.402695774898604</v>
      </c>
      <c r="N90" s="10">
        <f t="shared" si="22"/>
        <v>1.4932887799813952</v>
      </c>
      <c r="O90" s="10"/>
      <c r="P90" s="22"/>
      <c r="Q90" s="89">
        <v>59.2</v>
      </c>
      <c r="R90" s="89"/>
      <c r="S90" s="10">
        <v>6.6134999999999996E-3</v>
      </c>
      <c r="T90" s="10">
        <v>0.71199999999999997</v>
      </c>
      <c r="U90" s="10">
        <v>0.66300000000000003</v>
      </c>
      <c r="V90" s="5"/>
    </row>
    <row r="91" spans="1:22" x14ac:dyDescent="0.25">
      <c r="A91" s="22" t="s">
        <v>11</v>
      </c>
      <c r="B91" s="10">
        <v>51.5</v>
      </c>
      <c r="C91" s="10">
        <v>5.7999999999999996E-3</v>
      </c>
      <c r="D91" s="70">
        <v>4947</v>
      </c>
      <c r="E91" s="63">
        <f t="shared" si="24"/>
        <v>4.9410224836095189</v>
      </c>
      <c r="F91" s="63">
        <f t="shared" si="25"/>
        <v>33.948799881628148</v>
      </c>
      <c r="G91" s="74">
        <f>(5.01*(B91^0.59)*$Z$45)/(86.4*I$22)</f>
        <v>66.772809384118048</v>
      </c>
      <c r="H91" s="74">
        <f t="shared" si="20"/>
        <v>59.363053352073088</v>
      </c>
      <c r="I91" s="22">
        <f t="shared" si="21"/>
        <v>1.2016216691052368</v>
      </c>
      <c r="J91" s="32">
        <v>3.9</v>
      </c>
      <c r="K91" s="22"/>
      <c r="L91" s="22"/>
      <c r="M91" s="22">
        <f t="shared" si="23"/>
        <v>12.302695774898602</v>
      </c>
      <c r="N91" s="10">
        <f t="shared" si="22"/>
        <v>0.19374324054958428</v>
      </c>
      <c r="O91" s="22"/>
      <c r="P91" s="22"/>
      <c r="Q91" s="89">
        <v>63.5</v>
      </c>
      <c r="R91" s="89"/>
      <c r="S91" s="10">
        <v>6.6141999999999998E-3</v>
      </c>
      <c r="T91" s="10">
        <v>0.70199999999999996</v>
      </c>
      <c r="U91" s="10">
        <v>0.64100000000000001</v>
      </c>
      <c r="V91" s="5"/>
    </row>
    <row r="92" spans="1:22" x14ac:dyDescent="0.25">
      <c r="A92" s="22" t="s">
        <v>12</v>
      </c>
      <c r="B92" s="32">
        <v>1981</v>
      </c>
      <c r="C92" s="32">
        <v>1981</v>
      </c>
      <c r="D92" s="71">
        <v>1981</v>
      </c>
      <c r="E92" s="32">
        <v>1981</v>
      </c>
      <c r="F92" s="32">
        <v>1981</v>
      </c>
      <c r="G92" s="71">
        <v>1981</v>
      </c>
      <c r="H92" s="71">
        <v>1981</v>
      </c>
      <c r="I92" s="32">
        <v>1981</v>
      </c>
      <c r="J92" s="47" t="s">
        <v>70</v>
      </c>
      <c r="K92" s="49" t="s">
        <v>61</v>
      </c>
      <c r="L92" s="49" t="s">
        <v>62</v>
      </c>
      <c r="M92" s="39" t="s">
        <v>60</v>
      </c>
      <c r="N92" s="39" t="s">
        <v>73</v>
      </c>
      <c r="O92" s="105" t="s">
        <v>57</v>
      </c>
      <c r="P92" s="105"/>
      <c r="Q92" s="10"/>
      <c r="R92" s="10"/>
      <c r="S92" s="10">
        <v>5.8126000000000002E-3</v>
      </c>
      <c r="T92" s="10">
        <v>0.73499999999999999</v>
      </c>
      <c r="U92" s="10">
        <v>0.67500000000000004</v>
      </c>
      <c r="V92" s="5"/>
    </row>
    <row r="93" spans="1:22" x14ac:dyDescent="0.25">
      <c r="A93" s="22" t="s">
        <v>0</v>
      </c>
      <c r="B93" s="10">
        <v>21.4</v>
      </c>
      <c r="C93" s="10">
        <v>5.0000000000000001E-3</v>
      </c>
      <c r="D93" s="70">
        <v>2553</v>
      </c>
      <c r="E93" s="63">
        <f>C93*(($Z$45^F$24)*(((0.7*B93)+(0.29*B91)+(0.01*B90))^(F$15)))</f>
        <v>2.5494897127340934</v>
      </c>
      <c r="F93" s="63">
        <f>S94*(($Z$45^U$55)*(((0.7*B93)+(0.29*B91)+(0.01*B90))^(T$55)))</f>
        <v>18.441788212731861</v>
      </c>
      <c r="G93" s="74">
        <f>(5.01*(B93^0.59)*$Z$45)/(86.4*I$11)</f>
        <v>39.772007273613951</v>
      </c>
      <c r="H93" s="74">
        <f t="shared" ref="H93:H104" si="26">L$30^(J93-(0.6458446*LN(P$34))-(9.53942*N93*(P$34/P$33))+(4.8904*N93))</f>
        <v>280.57775985190614</v>
      </c>
      <c r="I93" s="22">
        <f t="shared" ref="I93:I104" si="27">L$30^(K$28-(0.6458446*LN(P$34))-(9.53942*N93*(P$34/P$33))+(4.8904*N93))</f>
        <v>2.5519324744261715</v>
      </c>
      <c r="J93" s="32">
        <v>4.7</v>
      </c>
      <c r="K93" s="22">
        <f>(10^-8)*((P100/P99)^-7.2474)</f>
        <v>8.8839224002565862E-15</v>
      </c>
      <c r="L93" s="22">
        <f>(-3.2951*(P99/P98))+5.33</f>
        <v>3.0487769230769231</v>
      </c>
      <c r="M93" s="22">
        <f>(B93-(0.74*P$94))</f>
        <v>-16.070877286314776</v>
      </c>
      <c r="N93" s="10">
        <f t="shared" ref="N93:N104" si="28">M93/Q93</f>
        <v>-0.24573206859808525</v>
      </c>
      <c r="O93" s="22" t="s">
        <v>58</v>
      </c>
      <c r="P93" s="22">
        <f>(B93+B94+B95+B96+B97+B98+B99+B100+B101+B102+B103+B104)/12</f>
        <v>76.166666666666671</v>
      </c>
      <c r="Q93" s="89">
        <v>65.400000000000006</v>
      </c>
      <c r="R93" s="89"/>
      <c r="S93" s="32">
        <v>1981</v>
      </c>
      <c r="T93" s="32">
        <v>1981</v>
      </c>
      <c r="U93" s="32">
        <v>1981</v>
      </c>
      <c r="V93" s="5"/>
    </row>
    <row r="94" spans="1:22" x14ac:dyDescent="0.25">
      <c r="A94" s="22" t="s">
        <v>1</v>
      </c>
      <c r="B94" s="10">
        <v>110.6</v>
      </c>
      <c r="C94" s="10">
        <v>6.4999999999999997E-3</v>
      </c>
      <c r="D94" s="70">
        <v>5967</v>
      </c>
      <c r="E94" s="63">
        <f>C94*(($Z$45^F$24)*(((0.7*B94)+(0.29*B93)+(0.01*B91))^(F$15)))</f>
        <v>5.9603066607936395</v>
      </c>
      <c r="F94" s="63">
        <f>S95*(($Z$45^U95)*(((0.7*B94)+(0.29*B93)+(0.01*B91))^(T95)))</f>
        <v>32.791562107462802</v>
      </c>
      <c r="G94" s="74">
        <f>(5.01*(B94^0.59)*$Z$45)/(86.4*I$12)</f>
        <v>116.05198449004115</v>
      </c>
      <c r="H94" s="74">
        <f t="shared" si="26"/>
        <v>22.406034492421632</v>
      </c>
      <c r="I94" s="22">
        <f t="shared" si="27"/>
        <v>0.20378909245873092</v>
      </c>
      <c r="J94" s="32">
        <v>4.7</v>
      </c>
      <c r="K94" s="22"/>
      <c r="L94" s="22"/>
      <c r="M94" s="22">
        <f t="shared" ref="M94:M104" si="29">(B94-(0.74*P$94))</f>
        <v>73.12912271368522</v>
      </c>
      <c r="N94" s="10">
        <f t="shared" si="28"/>
        <v>1.2290608859442893</v>
      </c>
      <c r="O94" s="22" t="s">
        <v>66</v>
      </c>
      <c r="P94" s="22">
        <f>((((B93-P93)^2+(B94-P93)^2+(B95-P93)^2+(B96-P93)^2+(B97-P93)^2+(B98-P93)^2+(B99-P93)^2+(B100-P93)^2+(B101-P93)^2+(B102-P93)^2+(B103-P93)^2+(B104-P93)^2))/(12-1))^0.5</f>
        <v>50.636320657182132</v>
      </c>
      <c r="Q94" s="89">
        <v>59.5</v>
      </c>
      <c r="R94" s="89"/>
      <c r="S94" s="10">
        <v>6.4120000000000002E-3</v>
      </c>
      <c r="T94" s="10">
        <v>0.77900000000000003</v>
      </c>
      <c r="U94" s="10">
        <v>0.69499999999999995</v>
      </c>
      <c r="V94" s="5"/>
    </row>
    <row r="95" spans="1:22" x14ac:dyDescent="0.25">
      <c r="A95" s="22" t="s">
        <v>2</v>
      </c>
      <c r="B95" s="10">
        <v>130.1</v>
      </c>
      <c r="C95" s="10">
        <v>6.7999999999999996E-3</v>
      </c>
      <c r="D95" s="70">
        <v>7828</v>
      </c>
      <c r="E95" s="63">
        <f t="shared" ref="E95:E104" si="30">C95*(($Z$45^F$24)*(((0.7*B95)+(0.29*B94)+(0.01*B93))^(F$15)))</f>
        <v>7.8185758741877347</v>
      </c>
      <c r="F95" s="63">
        <f t="shared" ref="F95:F104" si="31">S96*(($Z$45^U96)*(((0.7*B95)+(0.29*B94)+(0.01*B93))^(T96)))</f>
        <v>54.892846555530895</v>
      </c>
      <c r="G95" s="74">
        <f>(5.01*(B95^0.59)*$Z$45)/(86.4*I$13)</f>
        <v>115.36046258569527</v>
      </c>
      <c r="H95" s="74">
        <f t="shared" si="26"/>
        <v>9.0039977172662873</v>
      </c>
      <c r="I95" s="22">
        <f t="shared" si="27"/>
        <v>8.1893854261574112E-2</v>
      </c>
      <c r="J95" s="32">
        <v>4.7</v>
      </c>
      <c r="K95" s="22" t="s">
        <v>72</v>
      </c>
      <c r="L95" s="10">
        <f>EXP(1)</f>
        <v>2.7182818284590451</v>
      </c>
      <c r="M95" s="22">
        <f t="shared" si="29"/>
        <v>92.62912271368522</v>
      </c>
      <c r="N95" s="10">
        <f t="shared" si="28"/>
        <v>1.7610099375225325</v>
      </c>
      <c r="O95" s="22"/>
      <c r="P95" s="22"/>
      <c r="Q95" s="89">
        <v>52.6</v>
      </c>
      <c r="R95" s="89"/>
      <c r="S95" s="10">
        <v>6.5233000000000001E-3</v>
      </c>
      <c r="T95" s="10">
        <v>0.72099999999999997</v>
      </c>
      <c r="U95" s="10">
        <v>0.65300000000000002</v>
      </c>
      <c r="V95" s="5"/>
    </row>
    <row r="96" spans="1:22" x14ac:dyDescent="0.25">
      <c r="A96" s="22" t="s">
        <v>3</v>
      </c>
      <c r="B96" s="10">
        <v>184.4</v>
      </c>
      <c r="C96" s="10">
        <v>6.8999999999999999E-3</v>
      </c>
      <c r="D96" s="70">
        <v>9532</v>
      </c>
      <c r="E96" s="63">
        <f t="shared" si="30"/>
        <v>9.5206528205994783</v>
      </c>
      <c r="F96" s="63">
        <f t="shared" si="31"/>
        <v>69.314488613668615</v>
      </c>
      <c r="G96" s="74">
        <f>(5.01*(B96^0.59)*$Z$45)/(86.4*I$14)</f>
        <v>146.44439826513135</v>
      </c>
      <c r="H96" s="74">
        <f t="shared" si="26"/>
        <v>3.9636191732422974</v>
      </c>
      <c r="I96" s="22">
        <f t="shared" si="27"/>
        <v>3.6050214706233458E-2</v>
      </c>
      <c r="J96" s="32">
        <v>4.7</v>
      </c>
      <c r="K96" s="22"/>
      <c r="L96" s="22"/>
      <c r="M96" s="22">
        <f t="shared" si="29"/>
        <v>146.92912271368522</v>
      </c>
      <c r="N96" s="10">
        <f t="shared" si="28"/>
        <v>2.2397732120988603</v>
      </c>
      <c r="O96" s="22"/>
      <c r="P96" s="22"/>
      <c r="Q96" s="89">
        <v>65.599999999999994</v>
      </c>
      <c r="R96" s="89"/>
      <c r="S96" s="10">
        <v>6.8596000000000004E-3</v>
      </c>
      <c r="T96" s="10">
        <v>0.72299999999999998</v>
      </c>
      <c r="U96" s="10">
        <v>0.67500000000000004</v>
      </c>
      <c r="V96" s="5"/>
    </row>
    <row r="97" spans="1:22" x14ac:dyDescent="0.25">
      <c r="A97" s="22" t="s">
        <v>4</v>
      </c>
      <c r="B97" s="10">
        <v>89.8</v>
      </c>
      <c r="C97" s="10">
        <v>6.3E-3</v>
      </c>
      <c r="D97" s="70">
        <v>7052</v>
      </c>
      <c r="E97" s="63">
        <f t="shared" si="30"/>
        <v>7.0430867543634728</v>
      </c>
      <c r="F97" s="63">
        <f t="shared" si="31"/>
        <v>50.478256350024253</v>
      </c>
      <c r="G97" s="74">
        <f>(5.01*(B97^0.59)*$Z$45)/(86.4*I$15)</f>
        <v>92.697158683255168</v>
      </c>
      <c r="H97" s="74">
        <f t="shared" si="26"/>
        <v>45.845977543417241</v>
      </c>
      <c r="I97" s="22">
        <f t="shared" si="27"/>
        <v>0.41698186975550711</v>
      </c>
      <c r="J97" s="32">
        <v>4.7</v>
      </c>
      <c r="K97" s="22" t="s">
        <v>77</v>
      </c>
      <c r="L97" s="22">
        <v>86400</v>
      </c>
      <c r="M97" s="22">
        <f t="shared" si="29"/>
        <v>52.329122713685223</v>
      </c>
      <c r="N97" s="10">
        <f t="shared" si="28"/>
        <v>0.81130422811915071</v>
      </c>
      <c r="O97" s="22"/>
      <c r="P97" s="22"/>
      <c r="Q97" s="89">
        <v>64.5</v>
      </c>
      <c r="R97" s="89"/>
      <c r="S97" s="10">
        <v>6.9163000000000002E-3</v>
      </c>
      <c r="T97" s="10">
        <v>0.72499999999999998</v>
      </c>
      <c r="U97" s="10">
        <v>0.67400000000000004</v>
      </c>
      <c r="V97" s="5"/>
    </row>
    <row r="98" spans="1:22" x14ac:dyDescent="0.25">
      <c r="A98" s="22" t="s">
        <v>5</v>
      </c>
      <c r="B98" s="10">
        <v>32</v>
      </c>
      <c r="C98" s="10">
        <v>5.4999999999999997E-3</v>
      </c>
      <c r="D98" s="70">
        <v>3724</v>
      </c>
      <c r="E98" s="63">
        <f t="shared" si="30"/>
        <v>3.7197065812231407</v>
      </c>
      <c r="F98" s="63">
        <f t="shared" si="31"/>
        <v>26.504257353543935</v>
      </c>
      <c r="G98" s="74">
        <f>(5.01*(B98^0.59)*$Z$45)/(86.4*I$16)</f>
        <v>52.108948564099435</v>
      </c>
      <c r="H98" s="74">
        <f t="shared" si="26"/>
        <v>97.150463429211911</v>
      </c>
      <c r="I98" s="22">
        <f t="shared" si="27"/>
        <v>1.9665110776529846</v>
      </c>
      <c r="J98" s="32">
        <v>3.9</v>
      </c>
      <c r="K98" s="22" t="s">
        <v>78</v>
      </c>
      <c r="L98" s="22">
        <f>L97*15</f>
        <v>1296000</v>
      </c>
      <c r="M98" s="22">
        <f t="shared" si="29"/>
        <v>-5.4708772863147743</v>
      </c>
      <c r="N98" s="10">
        <f t="shared" si="28"/>
        <v>-9.3679405587581754E-2</v>
      </c>
      <c r="O98" s="22" t="s">
        <v>67</v>
      </c>
      <c r="P98" s="22">
        <v>0.65</v>
      </c>
      <c r="Q98" s="89">
        <v>58.4</v>
      </c>
      <c r="R98" s="89"/>
      <c r="S98" s="10">
        <v>6.3020000000000003E-3</v>
      </c>
      <c r="T98" s="10">
        <v>0.71499999999999997</v>
      </c>
      <c r="U98" s="10">
        <v>0.68400000000000005</v>
      </c>
      <c r="V98" s="5"/>
    </row>
    <row r="99" spans="1:22" x14ac:dyDescent="0.25">
      <c r="A99" s="22" t="s">
        <v>6</v>
      </c>
      <c r="B99" s="10">
        <v>24.2</v>
      </c>
      <c r="C99" s="10">
        <v>5.3E-3</v>
      </c>
      <c r="D99" s="70">
        <v>2491</v>
      </c>
      <c r="E99" s="63">
        <f t="shared" si="30"/>
        <v>2.4878259604102975</v>
      </c>
      <c r="F99" s="63">
        <f t="shared" si="31"/>
        <v>39.959358382824647</v>
      </c>
      <c r="G99" s="74">
        <f>(5.01*(B99^0.59)*$Z$45)/(86.4*I$17)</f>
        <v>42.764603507739899</v>
      </c>
      <c r="H99" s="74">
        <f t="shared" si="26"/>
        <v>27.476497319126889</v>
      </c>
      <c r="I99" s="22">
        <f t="shared" si="27"/>
        <v>2.4926116003532441</v>
      </c>
      <c r="J99" s="32">
        <v>2.4</v>
      </c>
      <c r="K99" s="22"/>
      <c r="L99" s="22"/>
      <c r="M99" s="22">
        <f t="shared" si="29"/>
        <v>-13.270877286314775</v>
      </c>
      <c r="N99" s="10">
        <f t="shared" si="28"/>
        <v>-0.23200834416634222</v>
      </c>
      <c r="O99" s="22" t="s">
        <v>68</v>
      </c>
      <c r="P99" s="22">
        <v>0.45</v>
      </c>
      <c r="Q99" s="89">
        <v>57.2</v>
      </c>
      <c r="R99" s="89"/>
      <c r="S99" s="10">
        <v>5.5449999999999996E-3</v>
      </c>
      <c r="T99" s="10">
        <v>0.73</v>
      </c>
      <c r="U99" s="10">
        <v>0.68799999999999994</v>
      </c>
      <c r="V99" s="5"/>
    </row>
    <row r="100" spans="1:22" x14ac:dyDescent="0.25">
      <c r="A100" s="22" t="s">
        <v>7</v>
      </c>
      <c r="B100" s="10">
        <v>37.5</v>
      </c>
      <c r="C100" s="10">
        <v>5.7000000000000002E-3</v>
      </c>
      <c r="D100" s="58">
        <v>3.04</v>
      </c>
      <c r="E100" s="63">
        <f t="shared" si="30"/>
        <v>3.0365039330028711</v>
      </c>
      <c r="F100" s="63">
        <f t="shared" si="31"/>
        <v>22.065205335826651</v>
      </c>
      <c r="G100" s="74">
        <f>(5.01*(B100^0.59)*$Z$45)/(86.4*I$18)</f>
        <v>55.374756798791445</v>
      </c>
      <c r="H100" s="74">
        <f t="shared" si="26"/>
        <v>5.0270335842586737</v>
      </c>
      <c r="I100" s="22">
        <f t="shared" si="27"/>
        <v>1.6733541169788404</v>
      </c>
      <c r="J100" s="32">
        <v>1.1000000000000001</v>
      </c>
      <c r="K100" s="22"/>
      <c r="L100" s="22"/>
      <c r="M100" s="22">
        <f t="shared" si="29"/>
        <v>2.9122713685225676E-2</v>
      </c>
      <c r="N100" s="10">
        <f t="shared" si="28"/>
        <v>5.1453557747748542E-4</v>
      </c>
      <c r="O100" s="22" t="s">
        <v>69</v>
      </c>
      <c r="P100" s="22">
        <f>-1+(EXP(1)*(0.5*P101))</f>
        <v>3.0774227426885679</v>
      </c>
      <c r="Q100" s="89">
        <v>56.6</v>
      </c>
      <c r="R100" s="89"/>
      <c r="S100" s="10">
        <v>6.0296999999999998E-3</v>
      </c>
      <c r="T100" s="10">
        <v>0.8</v>
      </c>
      <c r="U100" s="10">
        <v>0.755</v>
      </c>
      <c r="V100" s="5"/>
    </row>
    <row r="101" spans="1:22" x14ac:dyDescent="0.25">
      <c r="A101" s="22" t="s">
        <v>8</v>
      </c>
      <c r="B101" s="10">
        <v>37</v>
      </c>
      <c r="C101" s="10">
        <v>5.7000000000000002E-3</v>
      </c>
      <c r="D101" s="58">
        <v>3.22</v>
      </c>
      <c r="E101" s="63">
        <f t="shared" si="30"/>
        <v>3.2161787746133101</v>
      </c>
      <c r="F101" s="63">
        <f t="shared" si="31"/>
        <v>23.028645325486234</v>
      </c>
      <c r="G101" s="74">
        <f>(5.01*(B101^0.59)*$Z$45)/(86.4*I$19)</f>
        <v>56.769208637655844</v>
      </c>
      <c r="H101" s="74">
        <f t="shared" si="26"/>
        <v>5.1057017697413452</v>
      </c>
      <c r="I101" s="22">
        <f t="shared" si="27"/>
        <v>1.699540481133019</v>
      </c>
      <c r="J101" s="32">
        <v>1.1000000000000001</v>
      </c>
      <c r="K101" s="22"/>
      <c r="L101" s="22"/>
      <c r="M101" s="22">
        <f t="shared" si="29"/>
        <v>-0.47087728631477432</v>
      </c>
      <c r="N101" s="10">
        <f t="shared" si="28"/>
        <v>-8.545867265240913E-3</v>
      </c>
      <c r="O101" s="22" t="s">
        <v>74</v>
      </c>
      <c r="P101" s="22">
        <v>3</v>
      </c>
      <c r="Q101" s="89">
        <v>55.1</v>
      </c>
      <c r="R101" s="89"/>
      <c r="S101" s="10">
        <v>5.718E-3</v>
      </c>
      <c r="T101" s="10">
        <v>0.73899999999999999</v>
      </c>
      <c r="U101" s="10">
        <v>0.69399999999999995</v>
      </c>
      <c r="V101" s="5"/>
    </row>
    <row r="102" spans="1:22" ht="18.75" x14ac:dyDescent="0.3">
      <c r="A102" s="22" t="s">
        <v>9</v>
      </c>
      <c r="B102" s="10">
        <v>55.4</v>
      </c>
      <c r="C102" s="10">
        <v>5.8999999999999999E-3</v>
      </c>
      <c r="D102" s="70">
        <v>3976</v>
      </c>
      <c r="E102" s="63">
        <f t="shared" si="30"/>
        <v>3.9713824227328907</v>
      </c>
      <c r="F102" s="63">
        <f t="shared" si="31"/>
        <v>25.506755909698548</v>
      </c>
      <c r="G102" s="74">
        <f>(5.01*(B102^0.59)*$Z$45)/(86.4*I$20)</f>
        <v>69.711454641219149</v>
      </c>
      <c r="H102" s="74">
        <f t="shared" si="26"/>
        <v>10.898869571367753</v>
      </c>
      <c r="I102" s="22">
        <f t="shared" si="27"/>
        <v>0.98872314068274791</v>
      </c>
      <c r="J102" s="32">
        <v>2.4</v>
      </c>
      <c r="K102" s="22"/>
      <c r="L102" s="22"/>
      <c r="M102" s="22">
        <f t="shared" si="29"/>
        <v>17.929122713685224</v>
      </c>
      <c r="N102" s="10">
        <f t="shared" si="28"/>
        <v>0.30753212201861452</v>
      </c>
      <c r="O102" s="45" t="s">
        <v>75</v>
      </c>
      <c r="P102" s="10"/>
      <c r="Q102" s="89">
        <v>58.3</v>
      </c>
      <c r="R102" s="89"/>
      <c r="S102" s="10">
        <v>5.7275E-3</v>
      </c>
      <c r="T102" s="10">
        <v>0.73499999999999999</v>
      </c>
      <c r="U102" s="10">
        <v>0.69199999999999995</v>
      </c>
      <c r="V102" s="5"/>
    </row>
    <row r="103" spans="1:22" x14ac:dyDescent="0.25">
      <c r="A103" s="22" t="s">
        <v>10</v>
      </c>
      <c r="B103" s="10">
        <v>83</v>
      </c>
      <c r="C103" s="10">
        <v>6.3E-3</v>
      </c>
      <c r="D103" s="70">
        <v>5384</v>
      </c>
      <c r="E103" s="63">
        <f t="shared" si="30"/>
        <v>5.3773043305436294</v>
      </c>
      <c r="F103" s="63">
        <f t="shared" si="31"/>
        <v>39.026646881083643</v>
      </c>
      <c r="G103" s="74">
        <f>(5.01*(B103^0.59)*$Z$45)/(86.4*I$21)</f>
        <v>91.438669369371524</v>
      </c>
      <c r="H103" s="74">
        <f t="shared" si="26"/>
        <v>22.14615506774286</v>
      </c>
      <c r="I103" s="22">
        <f t="shared" si="27"/>
        <v>0.44828050974630723</v>
      </c>
      <c r="J103" s="32">
        <v>3.9</v>
      </c>
      <c r="K103" s="22"/>
      <c r="L103" s="22"/>
      <c r="M103" s="22">
        <f t="shared" si="29"/>
        <v>45.529122713685226</v>
      </c>
      <c r="N103" s="10">
        <f t="shared" si="28"/>
        <v>0.76907301881225043</v>
      </c>
      <c r="O103" s="10"/>
      <c r="P103" s="22"/>
      <c r="Q103" s="89">
        <v>59.2</v>
      </c>
      <c r="R103" s="89"/>
      <c r="S103" s="10">
        <v>5.9579999999999998E-3</v>
      </c>
      <c r="T103" s="10">
        <v>0.72</v>
      </c>
      <c r="U103" s="10">
        <v>0.68</v>
      </c>
      <c r="V103" s="5"/>
    </row>
    <row r="104" spans="1:22" x14ac:dyDescent="0.25">
      <c r="A104" s="22" t="s">
        <v>11</v>
      </c>
      <c r="B104" s="10">
        <v>108.6</v>
      </c>
      <c r="C104" s="10">
        <v>6.4999999999999997E-3</v>
      </c>
      <c r="D104" s="70">
        <v>6634</v>
      </c>
      <c r="E104" s="63">
        <f t="shared" si="30"/>
        <v>6.6262264144327618</v>
      </c>
      <c r="F104" s="63">
        <f t="shared" si="31"/>
        <v>27.520543049658453</v>
      </c>
      <c r="G104" s="74">
        <f>(5.01*(B104^0.59)*$Z$45)/(86.4*I$22)</f>
        <v>103.69862092294707</v>
      </c>
      <c r="H104" s="74">
        <f t="shared" si="26"/>
        <v>12.133790468923275</v>
      </c>
      <c r="I104" s="22">
        <f t="shared" si="27"/>
        <v>0.24561111217389256</v>
      </c>
      <c r="J104" s="32">
        <v>3.9</v>
      </c>
      <c r="K104" s="22"/>
      <c r="L104" s="22"/>
      <c r="M104" s="22">
        <f t="shared" si="29"/>
        <v>71.12912271368522</v>
      </c>
      <c r="N104" s="10">
        <f t="shared" si="28"/>
        <v>1.1201436647824443</v>
      </c>
      <c r="O104" s="22"/>
      <c r="P104" s="22"/>
      <c r="Q104" s="89">
        <v>63.5</v>
      </c>
      <c r="R104" s="89"/>
      <c r="S104" s="10">
        <v>6.3447E-3</v>
      </c>
      <c r="T104" s="10">
        <v>0.73699999999999999</v>
      </c>
      <c r="U104" s="10">
        <v>0.68</v>
      </c>
      <c r="V104" s="5"/>
    </row>
    <row r="105" spans="1:22" x14ac:dyDescent="0.25">
      <c r="A105" s="22" t="s">
        <v>12</v>
      </c>
      <c r="B105" s="32">
        <v>1982</v>
      </c>
      <c r="C105" s="32">
        <v>1982</v>
      </c>
      <c r="D105" s="71">
        <v>1982</v>
      </c>
      <c r="E105" s="32">
        <v>1982</v>
      </c>
      <c r="F105" s="32">
        <v>1982</v>
      </c>
      <c r="G105" s="71">
        <v>1982</v>
      </c>
      <c r="H105" s="71">
        <v>1982</v>
      </c>
      <c r="I105" s="32">
        <v>1982</v>
      </c>
      <c r="J105" s="47" t="s">
        <v>70</v>
      </c>
      <c r="K105" s="49" t="s">
        <v>61</v>
      </c>
      <c r="L105" s="49" t="s">
        <v>62</v>
      </c>
      <c r="M105" s="39" t="s">
        <v>60</v>
      </c>
      <c r="N105" s="39" t="s">
        <v>73</v>
      </c>
      <c r="O105" s="105" t="s">
        <v>57</v>
      </c>
      <c r="P105" s="105"/>
      <c r="Q105" s="10"/>
      <c r="R105" s="10"/>
      <c r="S105" s="10">
        <v>6.5161999999999998E-3</v>
      </c>
      <c r="T105" s="10">
        <v>0.68</v>
      </c>
      <c r="U105" s="10">
        <v>0.63900000000000001</v>
      </c>
      <c r="V105" s="5"/>
    </row>
    <row r="106" spans="1:22" x14ac:dyDescent="0.25">
      <c r="A106" s="22" t="s">
        <v>0</v>
      </c>
      <c r="B106" s="10">
        <v>117.1</v>
      </c>
      <c r="C106" s="10">
        <v>6.4999999999999997E-3</v>
      </c>
      <c r="D106" s="70">
        <v>7152</v>
      </c>
      <c r="E106" s="63">
        <f>C106*(($Z$45^F$24)*(((0.7*B106)+(0.29*B104)+(0.01*B103))^(F$15)))</f>
        <v>7.1438358507879176</v>
      </c>
      <c r="F106" s="63">
        <f>S107*(($Z$45^U$55)*(((0.7*B106)+(0.29*B104)+(0.01*B103))^(T$55)))</f>
        <v>47.968450144518314</v>
      </c>
      <c r="G106" s="74">
        <f>(5.01*(B106^0.59)*$Z$45)/(86.4*I$11)</f>
        <v>108.41314718658823</v>
      </c>
      <c r="H106" s="74">
        <f t="shared" ref="H106:H117" si="32">L$30^(J106-(0.6458446*LN(P$34))-(9.53942*N106*(P$34/P$33))+(4.8904*N106))</f>
        <v>34.08320437714837</v>
      </c>
      <c r="I106" s="22">
        <f t="shared" ref="I106:I117" si="33">L$30^(K$28-(0.6458446*LN(P$34))-(9.53942*N106*(P$34/P$33))+(4.8904*N106))</f>
        <v>0.30999618832389886</v>
      </c>
      <c r="J106" s="32">
        <v>4.7</v>
      </c>
      <c r="K106" s="22">
        <f>(10^-8)*((P113/P112)^-7.2474)</f>
        <v>8.8839224002565862E-15</v>
      </c>
      <c r="L106" s="22">
        <f>(-3.2951*(P112/P111))+5.33</f>
        <v>3.0487769230769231</v>
      </c>
      <c r="M106" s="22">
        <f>(B106-(0.74*P$107))</f>
        <v>64.373227334424556</v>
      </c>
      <c r="N106" s="10">
        <f t="shared" ref="N106:N117" si="34">M106/Q106</f>
        <v>0.9843001121471644</v>
      </c>
      <c r="O106" s="22" t="s">
        <v>58</v>
      </c>
      <c r="P106" s="22">
        <f>(B106+B107+B108+B109+B110+B111+B112+B113+B114+B115+B116+B117)/12</f>
        <v>103.57499999999999</v>
      </c>
      <c r="Q106" s="89">
        <v>65.400000000000006</v>
      </c>
      <c r="R106" s="89"/>
      <c r="S106" s="32">
        <v>1982</v>
      </c>
      <c r="T106" s="32">
        <v>1982</v>
      </c>
      <c r="U106" s="32">
        <v>1982</v>
      </c>
      <c r="V106" s="5"/>
    </row>
    <row r="107" spans="1:22" x14ac:dyDescent="0.25">
      <c r="A107" s="22" t="s">
        <v>1</v>
      </c>
      <c r="B107" s="10">
        <v>62.8</v>
      </c>
      <c r="C107" s="10">
        <v>6.0000000000000001E-3</v>
      </c>
      <c r="D107" s="70">
        <v>5307</v>
      </c>
      <c r="E107" s="63">
        <f>C107*(($Z$45^F$24)*(((0.7*B107)+(0.29*B106)+(0.01*B104))^(F$15)))</f>
        <v>5.3006658475962425</v>
      </c>
      <c r="F107" s="63">
        <f>S108*(($Z$45^U108)*(((0.7*B107)+(0.29*B106)+(0.01*B104))^(T108)))</f>
        <v>42.935738145844837</v>
      </c>
      <c r="G107" s="74">
        <f>(5.01*(B107^0.59)*$Z$45)/(86.4*I$12)</f>
        <v>83.10616390537686</v>
      </c>
      <c r="H107" s="74">
        <f t="shared" si="32"/>
        <v>137.76739681357114</v>
      </c>
      <c r="I107" s="22">
        <f t="shared" si="33"/>
        <v>1.2530326495987258</v>
      </c>
      <c r="J107" s="32">
        <v>4.7</v>
      </c>
      <c r="K107" s="22"/>
      <c r="L107" s="22"/>
      <c r="M107" s="22">
        <f t="shared" ref="M107:M117" si="35">(B107-(0.74*P$107))</f>
        <v>10.073227334424558</v>
      </c>
      <c r="N107" s="10">
        <f t="shared" si="34"/>
        <v>0.16929793839369006</v>
      </c>
      <c r="O107" s="22" t="s">
        <v>66</v>
      </c>
      <c r="P107" s="22">
        <f>((((B106-P106)^2+(B107-P106)^2+(B108-P106)^2+(B109-P106)^2+(B110-P106)^2+(B111-P106)^2+(B112-P106)^2+(B113-P106)^2+(B114-P106)^2+(B115-P106)^2+(B116-P106)^2+(B117-P106)^2))/(12-1))^0.5</f>
        <v>71.25239549402086</v>
      </c>
      <c r="Q107" s="89">
        <v>59.5</v>
      </c>
      <c r="R107" s="89"/>
      <c r="S107" s="10">
        <v>6.5135000000000002E-3</v>
      </c>
      <c r="T107" s="10">
        <v>0.72499999999999998</v>
      </c>
      <c r="U107" s="10">
        <v>0.68</v>
      </c>
      <c r="V107" s="5"/>
    </row>
    <row r="108" spans="1:22" x14ac:dyDescent="0.25">
      <c r="A108" s="22" t="s">
        <v>2</v>
      </c>
      <c r="B108" s="10">
        <v>107</v>
      </c>
      <c r="C108" s="10">
        <v>6.6E-3</v>
      </c>
      <c r="D108" s="70">
        <v>6481</v>
      </c>
      <c r="E108" s="63">
        <f t="shared" ref="E108:E117" si="36">C108*(($Z$45^F$24)*(((0.7*B108)+(0.29*B107)+(0.01*B106))^(F$15)))</f>
        <v>6.4733422396238547</v>
      </c>
      <c r="F108" s="63">
        <f t="shared" ref="F108:F117" si="37">S109*(($Z$45^U109)*(((0.7*B108)+(0.29*B107)+(0.01*B106))^(T109)))</f>
        <v>45.561809225805099</v>
      </c>
      <c r="G108" s="74">
        <f>(5.01*(B108^0.59)*$Z$45)/(86.4*I$13)</f>
        <v>102.7944844464173</v>
      </c>
      <c r="H108" s="74">
        <f t="shared" si="32"/>
        <v>31.417998330587565</v>
      </c>
      <c r="I108" s="22">
        <f t="shared" si="33"/>
        <v>0.28575540079731299</v>
      </c>
      <c r="J108" s="32">
        <v>4.7</v>
      </c>
      <c r="K108" s="22" t="s">
        <v>72</v>
      </c>
      <c r="L108" s="10">
        <f>EXP(1)</f>
        <v>2.7182818284590451</v>
      </c>
      <c r="M108" s="22">
        <f t="shared" si="35"/>
        <v>54.273227334424561</v>
      </c>
      <c r="N108" s="10">
        <f t="shared" si="34"/>
        <v>1.0318104055974251</v>
      </c>
      <c r="O108" s="22"/>
      <c r="P108" s="22"/>
      <c r="Q108" s="89">
        <v>52.6</v>
      </c>
      <c r="R108" s="89"/>
      <c r="S108" s="10">
        <v>6.0388000000000004E-3</v>
      </c>
      <c r="T108" s="10">
        <v>0.751</v>
      </c>
      <c r="U108" s="10">
        <v>0.68500000000000005</v>
      </c>
      <c r="V108" s="5"/>
    </row>
    <row r="109" spans="1:22" x14ac:dyDescent="0.25">
      <c r="A109" s="22" t="s">
        <v>3</v>
      </c>
      <c r="B109" s="10">
        <v>136.4</v>
      </c>
      <c r="C109" s="10">
        <v>6.6E-3</v>
      </c>
      <c r="D109" s="70">
        <v>7735</v>
      </c>
      <c r="E109" s="63">
        <f t="shared" si="36"/>
        <v>7.7252851704732741</v>
      </c>
      <c r="F109" s="63">
        <f t="shared" si="37"/>
        <v>55.1327851955784</v>
      </c>
      <c r="G109" s="74">
        <f>(5.01*(B109^0.59)*$Z$45)/(86.4*I$14)</f>
        <v>122.57849969876287</v>
      </c>
      <c r="H109" s="74">
        <f t="shared" si="32"/>
        <v>20.691669066140719</v>
      </c>
      <c r="I109" s="22">
        <f t="shared" si="33"/>
        <v>0.18819646385313898</v>
      </c>
      <c r="J109" s="32">
        <v>4.7</v>
      </c>
      <c r="K109" s="22"/>
      <c r="L109" s="22"/>
      <c r="M109" s="22">
        <f t="shared" si="35"/>
        <v>83.673227334424567</v>
      </c>
      <c r="N109" s="10">
        <f t="shared" si="34"/>
        <v>1.275506514244277</v>
      </c>
      <c r="O109" s="22"/>
      <c r="P109" s="22"/>
      <c r="Q109" s="89">
        <v>65.599999999999994</v>
      </c>
      <c r="R109" s="89"/>
      <c r="S109" s="10">
        <v>6.6137000000000001E-3</v>
      </c>
      <c r="T109" s="10">
        <v>0.73099999999999998</v>
      </c>
      <c r="U109" s="10">
        <v>0.67600000000000005</v>
      </c>
      <c r="V109" s="5"/>
    </row>
    <row r="110" spans="1:22" x14ac:dyDescent="0.25">
      <c r="A110" s="22" t="s">
        <v>4</v>
      </c>
      <c r="B110" s="10">
        <v>151.30000000000001</v>
      </c>
      <c r="C110" s="10">
        <v>6.7000000000000002E-3</v>
      </c>
      <c r="D110" s="58">
        <v>8.5399999999999991</v>
      </c>
      <c r="E110" s="63">
        <f t="shared" si="36"/>
        <v>8.5293350536408088</v>
      </c>
      <c r="F110" s="63">
        <f t="shared" si="37"/>
        <v>65.780866452429336</v>
      </c>
      <c r="G110" s="74">
        <f>(5.01*(B110^0.59)*$Z$45)/(86.4*I$15)</f>
        <v>126.10675526991241</v>
      </c>
      <c r="H110" s="74">
        <f t="shared" si="32"/>
        <v>13.417322331293988</v>
      </c>
      <c r="I110" s="22">
        <f t="shared" si="33"/>
        <v>0.12203426456589112</v>
      </c>
      <c r="J110" s="32">
        <v>4.7</v>
      </c>
      <c r="K110" s="22" t="s">
        <v>77</v>
      </c>
      <c r="L110" s="22">
        <v>86400</v>
      </c>
      <c r="M110" s="22">
        <f t="shared" si="35"/>
        <v>98.573227334424573</v>
      </c>
      <c r="N110" s="10">
        <f t="shared" si="34"/>
        <v>1.528267090456195</v>
      </c>
      <c r="O110" s="22"/>
      <c r="P110" s="22"/>
      <c r="Q110" s="89">
        <v>64.5</v>
      </c>
      <c r="R110" s="89"/>
      <c r="S110" s="10">
        <v>6.62E-3</v>
      </c>
      <c r="T110" s="10">
        <v>0.72</v>
      </c>
      <c r="U110" s="10">
        <v>0.67900000000000005</v>
      </c>
      <c r="V110" s="5"/>
    </row>
    <row r="111" spans="1:22" x14ac:dyDescent="0.25">
      <c r="A111" s="22" t="s">
        <v>5</v>
      </c>
      <c r="B111" s="10">
        <v>9.1999999999999993</v>
      </c>
      <c r="C111" s="10">
        <v>4.5999999999999999E-3</v>
      </c>
      <c r="D111" s="70">
        <v>3166</v>
      </c>
      <c r="E111" s="63">
        <f t="shared" si="36"/>
        <v>3.1617802129840871</v>
      </c>
      <c r="F111" s="63">
        <f t="shared" si="37"/>
        <v>32.364881229498856</v>
      </c>
      <c r="G111" s="74">
        <f>(5.01*(B111^0.59)*$Z$45)/(86.4*I$16)</f>
        <v>24.975180816782576</v>
      </c>
      <c r="H111" s="74">
        <f t="shared" si="32"/>
        <v>296.79869194284169</v>
      </c>
      <c r="I111" s="22">
        <f t="shared" si="33"/>
        <v>6.0077728395376271</v>
      </c>
      <c r="J111" s="32">
        <v>3.9</v>
      </c>
      <c r="K111" s="22" t="s">
        <v>78</v>
      </c>
      <c r="L111" s="22">
        <f>L110*15</f>
        <v>1296000</v>
      </c>
      <c r="M111" s="22">
        <f t="shared" si="35"/>
        <v>-43.526772665575436</v>
      </c>
      <c r="N111" s="10">
        <f t="shared" si="34"/>
        <v>-0.74532144975300407</v>
      </c>
      <c r="O111" s="22" t="s">
        <v>67</v>
      </c>
      <c r="P111" s="22">
        <v>0.65</v>
      </c>
      <c r="Q111" s="89">
        <v>58.4</v>
      </c>
      <c r="R111" s="89"/>
      <c r="S111" s="10">
        <v>6.7076000000000002E-3</v>
      </c>
      <c r="T111" s="10">
        <v>0.72899999999999998</v>
      </c>
      <c r="U111" s="10">
        <v>0.68100000000000005</v>
      </c>
      <c r="V111" s="5"/>
    </row>
    <row r="112" spans="1:22" x14ac:dyDescent="0.25">
      <c r="A112" s="22" t="s">
        <v>6</v>
      </c>
      <c r="B112" s="10">
        <v>33.200000000000003</v>
      </c>
      <c r="C112" s="10">
        <v>5.4999999999999997E-3</v>
      </c>
      <c r="D112" s="70">
        <v>2602</v>
      </c>
      <c r="E112" s="63">
        <f t="shared" si="36"/>
        <v>2.5987266355053218</v>
      </c>
      <c r="F112" s="63">
        <f t="shared" si="37"/>
        <v>26.283734575709939</v>
      </c>
      <c r="G112" s="74">
        <f>(5.01*(B112^0.59)*$Z$45)/(86.4*I$17)</f>
        <v>51.535305310203285</v>
      </c>
      <c r="H112" s="74">
        <f t="shared" si="32"/>
        <v>33.140919603751897</v>
      </c>
      <c r="I112" s="22">
        <f t="shared" si="33"/>
        <v>3.0064763965813652</v>
      </c>
      <c r="J112" s="32">
        <v>2.4</v>
      </c>
      <c r="K112" s="22"/>
      <c r="L112" s="22"/>
      <c r="M112" s="22">
        <f t="shared" si="35"/>
        <v>-19.526772665575436</v>
      </c>
      <c r="N112" s="10">
        <f t="shared" si="34"/>
        <v>-0.34137714450306705</v>
      </c>
      <c r="O112" s="22" t="s">
        <v>68</v>
      </c>
      <c r="P112" s="22">
        <v>0.45</v>
      </c>
      <c r="Q112" s="89">
        <v>57.2</v>
      </c>
      <c r="R112" s="89"/>
      <c r="S112" s="10">
        <v>6.0026000000000003E-3</v>
      </c>
      <c r="T112" s="10">
        <v>0.74099999999999999</v>
      </c>
      <c r="U112" s="10">
        <v>0.69499999999999995</v>
      </c>
      <c r="V112" s="5"/>
    </row>
    <row r="113" spans="1:22" x14ac:dyDescent="0.25">
      <c r="A113" s="22" t="s">
        <v>7</v>
      </c>
      <c r="B113" s="10">
        <v>4.5</v>
      </c>
      <c r="C113" s="10">
        <v>4.3E-3</v>
      </c>
      <c r="D113" s="70">
        <v>1301</v>
      </c>
      <c r="E113" s="63">
        <f t="shared" si="36"/>
        <v>1.2989583606366955</v>
      </c>
      <c r="F113" s="63">
        <f t="shared" si="37"/>
        <v>27.814530551079404</v>
      </c>
      <c r="G113" s="74">
        <f>(5.01*(B113^0.59)*$Z$45)/(86.4*I$18)</f>
        <v>15.849981769006021</v>
      </c>
      <c r="H113" s="74">
        <f t="shared" si="32"/>
        <v>21.671314177846082</v>
      </c>
      <c r="I113" s="22">
        <f t="shared" si="33"/>
        <v>7.2137538355412474</v>
      </c>
      <c r="J113" s="32">
        <v>1.1000000000000001</v>
      </c>
      <c r="K113" s="22"/>
      <c r="L113" s="22"/>
      <c r="M113" s="22">
        <f t="shared" si="35"/>
        <v>-48.226772665575439</v>
      </c>
      <c r="N113" s="10">
        <f t="shared" si="34"/>
        <v>-0.85206312129991935</v>
      </c>
      <c r="O113" s="22" t="s">
        <v>69</v>
      </c>
      <c r="P113" s="22">
        <f>-1+(EXP(1)*(0.5*P114))</f>
        <v>3.0774227426885679</v>
      </c>
      <c r="Q113" s="89">
        <v>56.6</v>
      </c>
      <c r="R113" s="89"/>
      <c r="S113" s="10">
        <v>6.6880999999999998E-3</v>
      </c>
      <c r="T113" s="10">
        <v>0.77500000000000002</v>
      </c>
      <c r="U113" s="10">
        <v>0.7</v>
      </c>
      <c r="V113" s="5"/>
    </row>
    <row r="114" spans="1:22" x14ac:dyDescent="0.25">
      <c r="A114" s="22" t="s">
        <v>8</v>
      </c>
      <c r="B114" s="10">
        <v>71.2</v>
      </c>
      <c r="C114" s="10">
        <v>6.1999999999999998E-3</v>
      </c>
      <c r="D114" s="70">
        <v>4257</v>
      </c>
      <c r="E114" s="63">
        <f t="shared" si="36"/>
        <v>4.2515739143148581</v>
      </c>
      <c r="F114" s="63">
        <f t="shared" si="37"/>
        <v>26.906893471653305</v>
      </c>
      <c r="G114" s="74">
        <f>(5.01*(B114^0.59)*$Z$45)/(86.4*I$19)</f>
        <v>83.528949443610273</v>
      </c>
      <c r="H114" s="74">
        <f t="shared" si="32"/>
        <v>2.8324049901785493</v>
      </c>
      <c r="I114" s="22">
        <f t="shared" si="33"/>
        <v>0.94282571855259045</v>
      </c>
      <c r="J114" s="32">
        <v>1.1000000000000001</v>
      </c>
      <c r="K114" s="22"/>
      <c r="L114" s="22"/>
      <c r="M114" s="22">
        <f t="shared" si="35"/>
        <v>18.473227334424564</v>
      </c>
      <c r="N114" s="10">
        <f t="shared" si="34"/>
        <v>0.33526728374636233</v>
      </c>
      <c r="O114" s="22" t="s">
        <v>74</v>
      </c>
      <c r="P114" s="22">
        <v>3</v>
      </c>
      <c r="Q114" s="89">
        <v>55.1</v>
      </c>
      <c r="R114" s="89"/>
      <c r="S114" s="10">
        <v>7.3071999999999998E-3</v>
      </c>
      <c r="T114" s="10">
        <v>0.79400000000000004</v>
      </c>
      <c r="U114" s="10">
        <v>0.76200000000000001</v>
      </c>
      <c r="V114" s="5"/>
    </row>
    <row r="115" spans="1:22" ht="18.75" x14ac:dyDescent="0.3">
      <c r="A115" s="22" t="s">
        <v>9</v>
      </c>
      <c r="B115" s="10">
        <v>139.80000000000001</v>
      </c>
      <c r="C115" s="10">
        <v>6.7999999999999996E-3</v>
      </c>
      <c r="D115" s="70">
        <v>7646</v>
      </c>
      <c r="E115" s="63">
        <f t="shared" si="36"/>
        <v>7.637012975121686</v>
      </c>
      <c r="F115" s="63">
        <f t="shared" si="37"/>
        <v>43.413999710547039</v>
      </c>
      <c r="G115" s="74">
        <f>(5.01*(B115^0.59)*$Z$45)/(86.4*I$20)</f>
        <v>120.36012082033776</v>
      </c>
      <c r="H115" s="74">
        <f t="shared" si="32"/>
        <v>1.4277030562578759</v>
      </c>
      <c r="I115" s="22">
        <f t="shared" si="33"/>
        <v>0.12951829916875454</v>
      </c>
      <c r="J115" s="32">
        <v>2.4</v>
      </c>
      <c r="K115" s="22"/>
      <c r="L115" s="22"/>
      <c r="M115" s="22">
        <f t="shared" si="35"/>
        <v>87.073227334424573</v>
      </c>
      <c r="N115" s="10">
        <f t="shared" si="34"/>
        <v>1.493537347074178</v>
      </c>
      <c r="O115" s="45" t="s">
        <v>75</v>
      </c>
      <c r="P115" s="10"/>
      <c r="Q115" s="89">
        <v>58.3</v>
      </c>
      <c r="R115" s="89"/>
      <c r="S115" s="10">
        <v>6.2227000000000003E-3</v>
      </c>
      <c r="T115" s="10">
        <v>0.72299999999999998</v>
      </c>
      <c r="U115" s="10">
        <v>0.67700000000000005</v>
      </c>
      <c r="V115" s="5"/>
    </row>
    <row r="116" spans="1:22" x14ac:dyDescent="0.25">
      <c r="A116" s="22" t="s">
        <v>10</v>
      </c>
      <c r="B116" s="10">
        <v>160.80000000000001</v>
      </c>
      <c r="C116" s="10">
        <v>6.8999999999999999E-3</v>
      </c>
      <c r="D116" s="58">
        <v>9.0500000000000007</v>
      </c>
      <c r="E116" s="63">
        <f t="shared" si="36"/>
        <v>9.0393857303539242</v>
      </c>
      <c r="F116" s="63">
        <f t="shared" si="37"/>
        <v>58.264093070423122</v>
      </c>
      <c r="G116" s="74">
        <f>(5.01*(B116^0.59)*$Z$45)/(86.4*I$21)</f>
        <v>135.07736782830162</v>
      </c>
      <c r="H116" s="74">
        <f t="shared" si="32"/>
        <v>3.6220483117047095</v>
      </c>
      <c r="I116" s="22">
        <f t="shared" si="33"/>
        <v>7.3317181177952787E-2</v>
      </c>
      <c r="J116" s="32">
        <v>3.9</v>
      </c>
      <c r="K116" s="22"/>
      <c r="L116" s="22"/>
      <c r="M116" s="22">
        <f t="shared" si="35"/>
        <v>108.07322733442457</v>
      </c>
      <c r="N116" s="10">
        <f t="shared" si="34"/>
        <v>1.8255612725409556</v>
      </c>
      <c r="O116" s="10"/>
      <c r="P116" s="22"/>
      <c r="Q116" s="89">
        <v>59.2</v>
      </c>
      <c r="R116" s="89"/>
      <c r="S116" s="10">
        <v>6.8436E-3</v>
      </c>
      <c r="T116" s="10">
        <v>0.70599999999999996</v>
      </c>
      <c r="U116" s="10">
        <v>0.66</v>
      </c>
      <c r="V116" s="5"/>
    </row>
    <row r="117" spans="1:22" x14ac:dyDescent="0.25">
      <c r="A117" s="22" t="s">
        <v>11</v>
      </c>
      <c r="B117" s="10">
        <v>249.6</v>
      </c>
      <c r="C117" s="10">
        <v>7.1999999999999998E-3</v>
      </c>
      <c r="D117" s="70">
        <v>11756</v>
      </c>
      <c r="E117" s="63">
        <f t="shared" si="36"/>
        <v>11.741650478248124</v>
      </c>
      <c r="F117" s="63">
        <f t="shared" si="37"/>
        <v>91.050734594377175</v>
      </c>
      <c r="G117" s="74">
        <f>(5.01*(B117^0.59)*$Z$45)/(86.4*I$22)</f>
        <v>169.43677892255533</v>
      </c>
      <c r="H117" s="74">
        <f t="shared" si="32"/>
        <v>0.40749039119815617</v>
      </c>
      <c r="I117" s="22">
        <f t="shared" si="33"/>
        <v>8.2483844136493362E-3</v>
      </c>
      <c r="J117" s="32">
        <v>3.9</v>
      </c>
      <c r="K117" s="22"/>
      <c r="L117" s="22"/>
      <c r="M117" s="22">
        <f t="shared" si="35"/>
        <v>196.87322733442454</v>
      </c>
      <c r="N117" s="10">
        <f t="shared" si="34"/>
        <v>3.1003657847940871</v>
      </c>
      <c r="O117" s="22"/>
      <c r="P117" s="22"/>
      <c r="Q117" s="89">
        <v>63.5</v>
      </c>
      <c r="R117" s="89"/>
      <c r="S117" s="10">
        <v>7.0152000000000001E-3</v>
      </c>
      <c r="T117" s="10">
        <v>0.72299999999999998</v>
      </c>
      <c r="U117" s="10">
        <v>0.66</v>
      </c>
      <c r="V117" s="5"/>
    </row>
    <row r="118" spans="1:22" x14ac:dyDescent="0.25">
      <c r="A118" s="22" t="s">
        <v>12</v>
      </c>
      <c r="B118" s="32">
        <v>1983</v>
      </c>
      <c r="C118" s="32">
        <v>1983</v>
      </c>
      <c r="D118" s="71">
        <v>1983</v>
      </c>
      <c r="E118" s="32">
        <v>1983</v>
      </c>
      <c r="F118" s="32">
        <v>1983</v>
      </c>
      <c r="G118" s="71">
        <v>1983</v>
      </c>
      <c r="H118" s="71">
        <v>1983</v>
      </c>
      <c r="I118" s="32">
        <v>1983</v>
      </c>
      <c r="J118" s="47" t="s">
        <v>70</v>
      </c>
      <c r="K118" s="49" t="s">
        <v>61</v>
      </c>
      <c r="L118" s="49" t="s">
        <v>62</v>
      </c>
      <c r="M118" s="39" t="s">
        <v>60</v>
      </c>
      <c r="N118" s="39" t="s">
        <v>73</v>
      </c>
      <c r="O118" s="105" t="s">
        <v>57</v>
      </c>
      <c r="P118" s="105"/>
      <c r="Q118" s="10"/>
      <c r="R118" s="10"/>
      <c r="S118" s="10">
        <v>7.2053999999999998E-3</v>
      </c>
      <c r="T118" s="10">
        <v>0.73299999999999998</v>
      </c>
      <c r="U118" s="10">
        <v>0.67200000000000004</v>
      </c>
      <c r="V118" s="5"/>
    </row>
    <row r="119" spans="1:22" x14ac:dyDescent="0.25">
      <c r="A119" s="22" t="s">
        <v>0</v>
      </c>
      <c r="B119" s="10">
        <v>94.5</v>
      </c>
      <c r="C119" s="10">
        <v>6.3E-3</v>
      </c>
      <c r="D119" s="70">
        <v>7821</v>
      </c>
      <c r="E119" s="63">
        <f>C119*(($Z$45^F$24)*(((0.7*B119)+(0.29*B117)+(0.01*B116))^(F$15)))</f>
        <v>7.8112822406193558</v>
      </c>
      <c r="F119" s="63">
        <f>S120*(($Z$45^U$55)*(((0.7*B119)+(0.29*B117)+(0.01*B116))^(T$55)))</f>
        <v>54.212160127899011</v>
      </c>
      <c r="G119" s="74">
        <f>(5.01*(B119^0.59)*$Z$45)/(86.4*I$11)</f>
        <v>95.529642152654674</v>
      </c>
      <c r="H119" s="74">
        <f t="shared" ref="H119:H130" si="38">L$30^(J119-(0.6458446*LN(P$34))-(9.53942*N119*(P$34/P$33))+(4.8904*N119))</f>
        <v>58.900829127401522</v>
      </c>
      <c r="I119" s="22">
        <f t="shared" ref="I119:I130" si="39">L$30^(K$28-(0.6458446*LN(P$34))-(9.53942*N119*(P$34/P$33))+(4.8904*N119))</f>
        <v>0.53571936243335772</v>
      </c>
      <c r="J119" s="32">
        <v>4.7</v>
      </c>
      <c r="K119" s="22">
        <f>(10^-8)*((P126/P125)^-7.2474)</f>
        <v>8.8839224002565862E-15</v>
      </c>
      <c r="L119" s="22">
        <f>(-3.2951*(P125/P124))+5.33</f>
        <v>3.0487769230769231</v>
      </c>
      <c r="M119" s="22">
        <f>(B119-(0.74*P$120))</f>
        <v>43.497506691962954</v>
      </c>
      <c r="N119" s="10">
        <f t="shared" ref="N119:N130" si="40">M119/Q119</f>
        <v>0.66509949070279739</v>
      </c>
      <c r="O119" s="22" t="s">
        <v>58</v>
      </c>
      <c r="P119" s="22">
        <f>(B119+B120+B121+B122+B123+B124+B125+B126+B127+B128+B129+B130)/12</f>
        <v>87.300000000000011</v>
      </c>
      <c r="Q119" s="89">
        <v>65.400000000000006</v>
      </c>
      <c r="R119" s="89"/>
      <c r="S119" s="32">
        <v>1983</v>
      </c>
      <c r="T119" s="32">
        <v>1983</v>
      </c>
      <c r="U119" s="32">
        <v>1983</v>
      </c>
      <c r="V119" s="5"/>
    </row>
    <row r="120" spans="1:22" x14ac:dyDescent="0.25">
      <c r="A120" s="22" t="s">
        <v>1</v>
      </c>
      <c r="B120" s="10">
        <v>68.099999999999994</v>
      </c>
      <c r="C120" s="10">
        <v>6.1000000000000004E-3</v>
      </c>
      <c r="D120" s="70">
        <v>5337</v>
      </c>
      <c r="E120" s="63">
        <f>C120*(($Z$45^F$24)*(((0.7*B120)+(0.29*B119)+(0.01*B117))^(F$15)))</f>
        <v>5.3309483314014265</v>
      </c>
      <c r="F120" s="63">
        <f>S121*(($Z$45^U121)*(((0.7*B120)+(0.29*B119)+(0.01*B117))^(T121)))</f>
        <v>70.189790104463071</v>
      </c>
      <c r="G120" s="74">
        <f>(5.01*(B120^0.59)*$Z$45)/(86.4*I$12)</f>
        <v>87.175378646667369</v>
      </c>
      <c r="H120" s="74">
        <f t="shared" si="38"/>
        <v>112.53251944267316</v>
      </c>
      <c r="I120" s="22">
        <f t="shared" si="39"/>
        <v>1.0235144472830933</v>
      </c>
      <c r="J120" s="32">
        <v>4.7</v>
      </c>
      <c r="K120" s="22"/>
      <c r="L120" s="22"/>
      <c r="M120" s="22">
        <f t="shared" ref="M120:M130" si="41">(B120-(0.74*P$120))</f>
        <v>17.097506691962948</v>
      </c>
      <c r="N120" s="10">
        <f t="shared" si="40"/>
        <v>0.2873530536464361</v>
      </c>
      <c r="O120" s="22" t="s">
        <v>66</v>
      </c>
      <c r="P120" s="22">
        <f>((((B119-P119)^2+(B120-P119)^2+(B121-P119)^2+(B122-P119)^2+(B123-P119)^2+(B124-P119)^2+(B125-P119)^2+(B126-P119)^2+(B127-P119)^2+(B128-P119)^2+(B129-P119)^2+(B130-P119)^2))/(12-1))^0.5</f>
        <v>68.922288254104117</v>
      </c>
      <c r="Q120" s="89">
        <v>59.5</v>
      </c>
      <c r="R120" s="89"/>
      <c r="S120" s="10">
        <v>6.3511000000000001E-3</v>
      </c>
      <c r="T120" s="10">
        <v>0.73199999999999998</v>
      </c>
      <c r="U120" s="10">
        <v>0.69499999999999995</v>
      </c>
      <c r="V120" s="5"/>
    </row>
    <row r="121" spans="1:22" x14ac:dyDescent="0.25">
      <c r="A121" s="22" t="s">
        <v>2</v>
      </c>
      <c r="B121" s="10">
        <v>205.5</v>
      </c>
      <c r="C121" s="10">
        <v>7.1000000000000004E-3</v>
      </c>
      <c r="D121" s="70">
        <v>9691</v>
      </c>
      <c r="E121" s="63">
        <f t="shared" ref="E121:E130" si="42">C121*(($Z$45^F$24)*(((0.7*B121)+(0.29*B120)+(0.01*B119))^(F$15)))</f>
        <v>9.6798235489923439</v>
      </c>
      <c r="F121" s="63">
        <f t="shared" ref="F121:F130" si="43">S122*(($Z$45^U122)*(((0.7*B121)+(0.29*B120)+(0.01*B119))^(T122)))</f>
        <v>85.568131526821759</v>
      </c>
      <c r="G121" s="74">
        <f>(5.01*(B121^0.59)*$Z$45)/(86.4*I$13)</f>
        <v>151.07491596893195</v>
      </c>
      <c r="H121" s="74">
        <f t="shared" si="38"/>
        <v>1.1994609202462652</v>
      </c>
      <c r="I121" s="22">
        <f t="shared" si="39"/>
        <v>1.0909429442294933E-2</v>
      </c>
      <c r="J121" s="32">
        <v>4.7</v>
      </c>
      <c r="K121" s="22" t="s">
        <v>72</v>
      </c>
      <c r="L121" s="10">
        <f>EXP(1)</f>
        <v>2.7182818284590451</v>
      </c>
      <c r="M121" s="22">
        <f t="shared" si="41"/>
        <v>154.49750669196294</v>
      </c>
      <c r="N121" s="10">
        <f t="shared" si="40"/>
        <v>2.9372149561209682</v>
      </c>
      <c r="O121" s="22"/>
      <c r="P121" s="22"/>
      <c r="Q121" s="89">
        <v>52.6</v>
      </c>
      <c r="R121" s="89"/>
      <c r="S121" s="10">
        <v>6.2630000000000003E-3</v>
      </c>
      <c r="T121" s="10">
        <v>0.79500000000000004</v>
      </c>
      <c r="U121" s="10">
        <v>0.71899999999999997</v>
      </c>
      <c r="V121" s="5"/>
    </row>
    <row r="122" spans="1:22" x14ac:dyDescent="0.25">
      <c r="A122" s="22" t="s">
        <v>3</v>
      </c>
      <c r="B122" s="10">
        <v>195</v>
      </c>
      <c r="C122" s="10">
        <v>7.0000000000000001E-3</v>
      </c>
      <c r="D122" s="70">
        <v>10621</v>
      </c>
      <c r="E122" s="63">
        <f t="shared" si="42"/>
        <v>10.608439161033608</v>
      </c>
      <c r="F122" s="63">
        <f t="shared" si="43"/>
        <v>95.279801662231819</v>
      </c>
      <c r="G122" s="74">
        <f>(5.01*(B122^0.59)*$Z$45)/(86.4*I$14)</f>
        <v>151.35411873028127</v>
      </c>
      <c r="H122" s="74">
        <f t="shared" si="38"/>
        <v>4.2791167773369549</v>
      </c>
      <c r="I122" s="22">
        <f t="shared" si="39"/>
        <v>3.8919752840395574E-2</v>
      </c>
      <c r="J122" s="32">
        <v>4.7</v>
      </c>
      <c r="K122" s="22"/>
      <c r="L122" s="22"/>
      <c r="M122" s="22">
        <f t="shared" si="41"/>
        <v>143.99750669196294</v>
      </c>
      <c r="N122" s="10">
        <f t="shared" si="40"/>
        <v>2.1950839434750451</v>
      </c>
      <c r="O122" s="22"/>
      <c r="P122" s="22"/>
      <c r="Q122" s="89">
        <v>65.599999999999994</v>
      </c>
      <c r="R122" s="89"/>
      <c r="S122" s="10">
        <v>7.1159999999999999E-3</v>
      </c>
      <c r="T122" s="10">
        <v>0.746</v>
      </c>
      <c r="U122" s="10">
        <v>0.68500000000000005</v>
      </c>
      <c r="V122" s="5"/>
    </row>
    <row r="123" spans="1:22" x14ac:dyDescent="0.25">
      <c r="A123" s="22" t="s">
        <v>4</v>
      </c>
      <c r="B123" s="10">
        <v>99.2</v>
      </c>
      <c r="C123" s="10">
        <v>6.4000000000000003E-3</v>
      </c>
      <c r="D123" s="70">
        <v>7532</v>
      </c>
      <c r="E123" s="63">
        <f t="shared" si="42"/>
        <v>7.5227442215770646</v>
      </c>
      <c r="F123" s="63">
        <f t="shared" si="43"/>
        <v>81.387003784666462</v>
      </c>
      <c r="G123" s="74">
        <f>(5.01*(B123^0.59)*$Z$45)/(86.4*I$15)</f>
        <v>98.304923703191236</v>
      </c>
      <c r="H123" s="74">
        <f t="shared" si="38"/>
        <v>51.165610203448111</v>
      </c>
      <c r="I123" s="22">
        <f t="shared" si="39"/>
        <v>0.46536540287771949</v>
      </c>
      <c r="J123" s="32">
        <v>4.7</v>
      </c>
      <c r="K123" s="22" t="s">
        <v>77</v>
      </c>
      <c r="L123" s="22">
        <v>86400</v>
      </c>
      <c r="M123" s="22">
        <f t="shared" si="41"/>
        <v>48.197506691962957</v>
      </c>
      <c r="N123" s="10">
        <f t="shared" si="40"/>
        <v>0.74724816576686759</v>
      </c>
      <c r="O123" s="22"/>
      <c r="P123" s="22"/>
      <c r="Q123" s="89">
        <v>64.5</v>
      </c>
      <c r="R123" s="89"/>
      <c r="S123" s="10">
        <v>7.0714000000000003E-3</v>
      </c>
      <c r="T123" s="10">
        <v>0.75</v>
      </c>
      <c r="U123" s="10">
        <v>0.68</v>
      </c>
      <c r="V123" s="5"/>
    </row>
    <row r="124" spans="1:22" x14ac:dyDescent="0.25">
      <c r="A124" s="22" t="s">
        <v>5</v>
      </c>
      <c r="B124" s="10">
        <v>18.600000000000001</v>
      </c>
      <c r="C124" s="10">
        <v>5.0000000000000001E-3</v>
      </c>
      <c r="D124" s="70">
        <v>3118</v>
      </c>
      <c r="E124" s="63">
        <f t="shared" si="42"/>
        <v>3.1137616505030112</v>
      </c>
      <c r="F124" s="63">
        <f t="shared" si="43"/>
        <v>43.964625321081677</v>
      </c>
      <c r="G124" s="74">
        <f>(5.01*(B124^0.59)*$Z$45)/(86.4*I$16)</f>
        <v>37.834365940087459</v>
      </c>
      <c r="H124" s="74">
        <f t="shared" si="38"/>
        <v>214.13348530748794</v>
      </c>
      <c r="I124" s="22">
        <f t="shared" si="39"/>
        <v>4.3344710471756667</v>
      </c>
      <c r="J124" s="32">
        <v>3.9</v>
      </c>
      <c r="K124" s="22" t="s">
        <v>78</v>
      </c>
      <c r="L124" s="22">
        <f>L123*15</f>
        <v>1296000</v>
      </c>
      <c r="M124" s="22">
        <f t="shared" si="41"/>
        <v>-32.402493308037045</v>
      </c>
      <c r="N124" s="10">
        <f t="shared" si="40"/>
        <v>-0.55483721417871656</v>
      </c>
      <c r="O124" s="22" t="s">
        <v>67</v>
      </c>
      <c r="P124" s="22">
        <v>0.65</v>
      </c>
      <c r="Q124" s="89">
        <v>58.4</v>
      </c>
      <c r="R124" s="89"/>
      <c r="S124" s="10">
        <v>6.4086000000000004E-3</v>
      </c>
      <c r="T124" s="10">
        <v>0.77900000000000003</v>
      </c>
      <c r="U124" s="10">
        <v>0.69499999999999995</v>
      </c>
      <c r="V124" s="5"/>
    </row>
    <row r="125" spans="1:22" x14ac:dyDescent="0.25">
      <c r="A125" s="22" t="s">
        <v>6</v>
      </c>
      <c r="B125" s="10">
        <v>3.5</v>
      </c>
      <c r="C125" s="10">
        <v>4.0000000000000001E-3</v>
      </c>
      <c r="D125" s="58">
        <v>0.96899999999999997</v>
      </c>
      <c r="E125" s="63">
        <f t="shared" si="42"/>
        <v>0.96738846444858684</v>
      </c>
      <c r="F125" s="63">
        <f t="shared" si="43"/>
        <v>29.658972539882189</v>
      </c>
      <c r="G125" s="74">
        <f>(5.01*(B125^0.59)*$Z$45)/(86.4*I$17)</f>
        <v>13.665751842149952</v>
      </c>
      <c r="H125" s="74">
        <f t="shared" si="38"/>
        <v>76.628660340525727</v>
      </c>
      <c r="I125" s="22">
        <f t="shared" si="39"/>
        <v>6.9515952294021295</v>
      </c>
      <c r="J125" s="32">
        <v>2.4</v>
      </c>
      <c r="K125" s="22"/>
      <c r="L125" s="22"/>
      <c r="M125" s="22">
        <f t="shared" si="41"/>
        <v>-47.502493308037046</v>
      </c>
      <c r="N125" s="10">
        <f t="shared" si="40"/>
        <v>-0.83046316972092737</v>
      </c>
      <c r="O125" s="22" t="s">
        <v>68</v>
      </c>
      <c r="P125" s="22">
        <v>0.45</v>
      </c>
      <c r="Q125" s="89">
        <v>57.2</v>
      </c>
      <c r="R125" s="89"/>
      <c r="S125" s="10">
        <v>7.3803000000000002E-3</v>
      </c>
      <c r="T125" s="10">
        <v>0.78500000000000003</v>
      </c>
      <c r="U125" s="10">
        <v>0.70199999999999996</v>
      </c>
      <c r="V125" s="5"/>
    </row>
    <row r="126" spans="1:22" x14ac:dyDescent="0.25">
      <c r="A126" s="22" t="s">
        <v>7</v>
      </c>
      <c r="B126" s="10">
        <v>39.1</v>
      </c>
      <c r="C126" s="10">
        <v>5.7000000000000002E-3</v>
      </c>
      <c r="D126" s="70">
        <v>2763</v>
      </c>
      <c r="E126" s="63">
        <f t="shared" si="42"/>
        <v>2.7594609715551659</v>
      </c>
      <c r="F126" s="63">
        <f t="shared" si="43"/>
        <v>29.981813527791022</v>
      </c>
      <c r="G126" s="74">
        <f>(5.01*(B126^0.59)*$Z$45)/(86.4*I$18)</f>
        <v>56.756769837021153</v>
      </c>
      <c r="H126" s="74">
        <f t="shared" si="38"/>
        <v>7.2146393062171423</v>
      </c>
      <c r="I126" s="22">
        <f t="shared" si="39"/>
        <v>2.4015448043512815</v>
      </c>
      <c r="J126" s="32">
        <v>1.1000000000000001</v>
      </c>
      <c r="K126" s="22"/>
      <c r="L126" s="22"/>
      <c r="M126" s="22">
        <f t="shared" si="41"/>
        <v>-11.902493308037045</v>
      </c>
      <c r="N126" s="10">
        <f t="shared" si="40"/>
        <v>-0.21029140120206791</v>
      </c>
      <c r="O126" s="22" t="s">
        <v>69</v>
      </c>
      <c r="P126" s="22">
        <f>-1+(EXP(1)*(0.5*P127))</f>
        <v>3.0774227426885679</v>
      </c>
      <c r="Q126" s="89">
        <v>56.6</v>
      </c>
      <c r="R126" s="89"/>
      <c r="S126" s="10">
        <v>7.3140000000000002E-3</v>
      </c>
      <c r="T126" s="10">
        <v>0.85899999999999999</v>
      </c>
      <c r="U126" s="10">
        <v>0.78900000000000003</v>
      </c>
      <c r="V126" s="5"/>
    </row>
    <row r="127" spans="1:22" x14ac:dyDescent="0.25">
      <c r="A127" s="22" t="s">
        <v>8</v>
      </c>
      <c r="B127" s="10">
        <v>7</v>
      </c>
      <c r="C127" s="10">
        <v>4.4999999999999997E-3</v>
      </c>
      <c r="D127" s="70">
        <v>1564</v>
      </c>
      <c r="E127" s="63">
        <f t="shared" si="42"/>
        <v>1.5617453902369796</v>
      </c>
      <c r="F127" s="63">
        <f t="shared" si="43"/>
        <v>29.062815041761411</v>
      </c>
      <c r="G127" s="74">
        <f>(5.01*(B127^0.59)*$Z$45)/(86.4*I$19)</f>
        <v>21.256006128367112</v>
      </c>
      <c r="H127" s="74">
        <f t="shared" si="38"/>
        <v>19.77368900186887</v>
      </c>
      <c r="I127" s="22">
        <f t="shared" si="39"/>
        <v>6.5820892867609491</v>
      </c>
      <c r="J127" s="32">
        <v>1.1000000000000001</v>
      </c>
      <c r="K127" s="22"/>
      <c r="L127" s="22"/>
      <c r="M127" s="22">
        <f>(B127-(0.74*P$120))</f>
        <v>-44.002493308037046</v>
      </c>
      <c r="N127" s="10">
        <f t="shared" si="40"/>
        <v>-0.79859334497344914</v>
      </c>
      <c r="O127" s="22" t="s">
        <v>74</v>
      </c>
      <c r="P127" s="22">
        <v>3</v>
      </c>
      <c r="Q127" s="89">
        <v>55.1</v>
      </c>
      <c r="R127" s="89"/>
      <c r="S127" s="10">
        <v>7.0276000000000002E-3</v>
      </c>
      <c r="T127" s="10">
        <v>0.79</v>
      </c>
      <c r="U127" s="10">
        <v>0.7</v>
      </c>
      <c r="V127" s="5"/>
    </row>
    <row r="128" spans="1:22" ht="18.75" x14ac:dyDescent="0.3">
      <c r="A128" s="22" t="s">
        <v>9</v>
      </c>
      <c r="B128" s="10">
        <v>76.599999999999994</v>
      </c>
      <c r="C128" s="10">
        <v>6.1999999999999998E-3</v>
      </c>
      <c r="D128" s="70">
        <v>4476</v>
      </c>
      <c r="E128" s="63">
        <f t="shared" si="42"/>
        <v>4.4706153765319172</v>
      </c>
      <c r="F128" s="63">
        <f t="shared" si="43"/>
        <v>32.078517307129729</v>
      </c>
      <c r="G128" s="74">
        <f>(5.01*(B128^0.59)*$Z$45)/(86.4*I$20)</f>
        <v>84.397262081632647</v>
      </c>
      <c r="H128" s="74">
        <f t="shared" si="38"/>
        <v>8.6992403165942083</v>
      </c>
      <c r="I128" s="22">
        <f t="shared" si="39"/>
        <v>0.78917727669417448</v>
      </c>
      <c r="J128" s="32">
        <v>2.4</v>
      </c>
      <c r="K128" s="22"/>
      <c r="L128" s="22"/>
      <c r="M128" s="22">
        <f t="shared" si="41"/>
        <v>25.597506691962948</v>
      </c>
      <c r="N128" s="10">
        <f t="shared" si="40"/>
        <v>0.43906529488787222</v>
      </c>
      <c r="O128" s="45" t="s">
        <v>75</v>
      </c>
      <c r="P128" s="10"/>
      <c r="Q128" s="89">
        <v>58.3</v>
      </c>
      <c r="R128" s="89"/>
      <c r="S128" s="10">
        <v>7.0264999999999998E-3</v>
      </c>
      <c r="T128" s="10">
        <v>0.79500000000000004</v>
      </c>
      <c r="U128" s="10">
        <v>0.749</v>
      </c>
      <c r="V128" s="5"/>
    </row>
    <row r="129" spans="1:22" x14ac:dyDescent="0.25">
      <c r="A129" s="22" t="s">
        <v>10</v>
      </c>
      <c r="B129" s="10">
        <v>79.5</v>
      </c>
      <c r="C129" s="10">
        <v>6.1999999999999998E-3</v>
      </c>
      <c r="D129" s="58">
        <v>5.44</v>
      </c>
      <c r="E129" s="63">
        <f t="shared" si="42"/>
        <v>5.4333214054712791</v>
      </c>
      <c r="F129" s="63">
        <f t="shared" si="43"/>
        <v>33.875911660038959</v>
      </c>
      <c r="G129" s="74">
        <f>(5.01*(B129^0.59)*$Z$45)/(86.4*I$21)</f>
        <v>89.143653396499303</v>
      </c>
      <c r="H129" s="74">
        <f t="shared" si="38"/>
        <v>36.26023385804617</v>
      </c>
      <c r="I129" s="22">
        <f t="shared" si="39"/>
        <v>0.73397644275873553</v>
      </c>
      <c r="J129" s="32">
        <v>3.9</v>
      </c>
      <c r="K129" s="22"/>
      <c r="L129" s="22"/>
      <c r="M129" s="22">
        <f t="shared" si="41"/>
        <v>28.497506691962954</v>
      </c>
      <c r="N129" s="10">
        <f t="shared" si="40"/>
        <v>0.48137680222910395</v>
      </c>
      <c r="O129" s="10"/>
      <c r="P129" s="22"/>
      <c r="Q129" s="89">
        <v>59.2</v>
      </c>
      <c r="R129" s="89"/>
      <c r="S129" s="10">
        <v>6.2245E-3</v>
      </c>
      <c r="T129" s="10">
        <v>0.72499999999999998</v>
      </c>
      <c r="U129" s="10">
        <v>0.69</v>
      </c>
      <c r="V129" s="5"/>
    </row>
    <row r="130" spans="1:22" x14ac:dyDescent="0.25">
      <c r="A130" s="22" t="s">
        <v>11</v>
      </c>
      <c r="B130" s="10">
        <v>161</v>
      </c>
      <c r="C130" s="10">
        <v>6.7999999999999996E-3</v>
      </c>
      <c r="D130" s="70">
        <v>8312</v>
      </c>
      <c r="E130" s="63">
        <f t="shared" si="42"/>
        <v>8.3017066442852876</v>
      </c>
      <c r="F130" s="63">
        <f t="shared" si="43"/>
        <v>47.659699933905777</v>
      </c>
      <c r="G130" s="74">
        <f>(5.01*(B130^0.59)*$Z$45)/(86.4*I$22)</f>
        <v>130.81593533032697</v>
      </c>
      <c r="H130" s="74">
        <f t="shared" si="38"/>
        <v>4.2502074308236173</v>
      </c>
      <c r="I130" s="22">
        <f t="shared" si="39"/>
        <v>8.6032322441032164E-2</v>
      </c>
      <c r="J130" s="32">
        <v>3.9</v>
      </c>
      <c r="K130" s="22"/>
      <c r="L130" s="22"/>
      <c r="M130" s="22">
        <f t="shared" si="41"/>
        <v>109.99750669196295</v>
      </c>
      <c r="N130" s="10">
        <f t="shared" si="40"/>
        <v>1.7322441998734324</v>
      </c>
      <c r="O130" s="22"/>
      <c r="P130" s="22"/>
      <c r="Q130" s="89">
        <v>63.5</v>
      </c>
      <c r="R130" s="89"/>
      <c r="S130" s="10">
        <v>6.2266999999999999E-3</v>
      </c>
      <c r="T130" s="10">
        <v>0.72</v>
      </c>
      <c r="U130" s="10">
        <v>0.67</v>
      </c>
      <c r="V130" s="5"/>
    </row>
    <row r="131" spans="1:22" x14ac:dyDescent="0.25">
      <c r="A131" s="22" t="s">
        <v>12</v>
      </c>
      <c r="B131" s="32">
        <v>1984</v>
      </c>
      <c r="C131" s="32">
        <v>1984</v>
      </c>
      <c r="D131" s="71">
        <v>1984</v>
      </c>
      <c r="E131" s="32">
        <v>1984</v>
      </c>
      <c r="F131" s="32">
        <v>1984</v>
      </c>
      <c r="G131" s="71">
        <v>1984</v>
      </c>
      <c r="H131" s="71">
        <v>1984</v>
      </c>
      <c r="I131" s="32">
        <v>1984</v>
      </c>
      <c r="J131" s="47" t="s">
        <v>70</v>
      </c>
      <c r="K131" s="49" t="s">
        <v>61</v>
      </c>
      <c r="L131" s="49" t="s">
        <v>62</v>
      </c>
      <c r="M131" s="39" t="s">
        <v>60</v>
      </c>
      <c r="N131" s="39" t="s">
        <v>73</v>
      </c>
      <c r="O131" s="105" t="s">
        <v>57</v>
      </c>
      <c r="P131" s="105"/>
      <c r="Q131" s="10"/>
      <c r="R131" s="10"/>
      <c r="S131" s="10">
        <v>6.8012000000000003E-3</v>
      </c>
      <c r="T131" s="10">
        <v>0.70099999999999996</v>
      </c>
      <c r="U131" s="10">
        <v>0.66300000000000003</v>
      </c>
      <c r="V131" s="5"/>
    </row>
    <row r="132" spans="1:22" x14ac:dyDescent="0.25">
      <c r="A132" s="22" t="s">
        <v>0</v>
      </c>
      <c r="B132" s="10">
        <v>68.3</v>
      </c>
      <c r="C132" s="10">
        <v>6.0000000000000001E-3</v>
      </c>
      <c r="D132" s="28">
        <v>5.9290000000000003</v>
      </c>
      <c r="E132" s="63">
        <f>C132*(($Z$45^F$24)*(((0.7*B132)+(0.29*B130)+(0.01*B129))^(F$15)))</f>
        <v>5.9221301493433698</v>
      </c>
      <c r="F132" s="63">
        <f>S133*(($Z$45^U$55)*(((0.7*B132)+(0.29*B130)+(0.01*B129))^(T$55)))</f>
        <v>41.045489181354114</v>
      </c>
      <c r="G132" s="74">
        <f>(5.01*(B132^0.59)*$Z$45)/(86.4*I$11)</f>
        <v>78.875404426532867</v>
      </c>
      <c r="H132" s="74">
        <f t="shared" ref="H132:H143" si="44">L$30^(J132-(0.6458446*LN(P$34))-(9.53942*N132*(P$34/P$33))+(4.8904*N132))</f>
        <v>95.709271669798284</v>
      </c>
      <c r="I132" s="22">
        <f t="shared" ref="I132:I143" si="45">L$30^(K$28-(0.6458446*LN(P$34))-(9.53942*N132*(P$34/P$33))+(4.8904*N132))</f>
        <v>0.87050234703830776</v>
      </c>
      <c r="J132" s="32">
        <v>4.7</v>
      </c>
      <c r="K132" s="22">
        <f>(10^-8)*((P139/P138)^-7.2474)</f>
        <v>8.8839224002565862E-15</v>
      </c>
      <c r="L132" s="22">
        <f>(-3.2951*(P138/P137))+5.33</f>
        <v>3.0487769230769231</v>
      </c>
      <c r="M132" s="22">
        <f>(B132-(0.74*P$133))</f>
        <v>24.972108114140525</v>
      </c>
      <c r="N132" s="10">
        <f t="shared" ref="N132:N143" si="46">M132/Q132</f>
        <v>0.38183651550673581</v>
      </c>
      <c r="O132" s="22" t="s">
        <v>58</v>
      </c>
      <c r="P132" s="22">
        <f>(B132+B133+B134+B135+B136+B137+B138+B139+B140+B141+B142+B143)/12</f>
        <v>83.9</v>
      </c>
      <c r="Q132" s="89">
        <v>65.400000000000006</v>
      </c>
      <c r="R132" s="89"/>
      <c r="S132" s="32">
        <v>1984</v>
      </c>
      <c r="T132" s="32">
        <v>1984</v>
      </c>
      <c r="U132" s="32">
        <v>1984</v>
      </c>
      <c r="V132" s="5"/>
    </row>
    <row r="133" spans="1:22" x14ac:dyDescent="0.25">
      <c r="A133" s="22" t="s">
        <v>1</v>
      </c>
      <c r="B133" s="10">
        <v>175.4</v>
      </c>
      <c r="C133" s="10">
        <v>6.8999999999999999E-3</v>
      </c>
      <c r="D133" s="28">
        <v>8.7110000000000003</v>
      </c>
      <c r="E133" s="63">
        <f>C133*(($Z$45^F$24)*(((0.7*B133)+(0.29*B132)+(0.01*B130))^(F$15)))</f>
        <v>8.7007529216847814</v>
      </c>
      <c r="F133" s="63">
        <f>S134*(($Z$45^U134)*(((0.7*B133)+(0.29*B132)+(0.01*B130))^(T134)))</f>
        <v>73.54063178220747</v>
      </c>
      <c r="G133" s="74">
        <f>(5.01*(B133^0.59)*$Z$45)/(86.4*J$12)</f>
        <v>147.08708372476627</v>
      </c>
      <c r="H133" s="74">
        <f t="shared" si="44"/>
        <v>4.10235211506523</v>
      </c>
      <c r="I133" s="22">
        <f t="shared" si="45"/>
        <v>3.7312029255246487E-2</v>
      </c>
      <c r="J133" s="32">
        <v>4.7</v>
      </c>
      <c r="K133" s="22"/>
      <c r="L133" s="22"/>
      <c r="M133" s="22">
        <f t="shared" ref="M133:M143" si="47">(B133-(0.74*P$133))</f>
        <v>132.07210811414052</v>
      </c>
      <c r="N133" s="10">
        <f t="shared" si="46"/>
        <v>2.2196992960359752</v>
      </c>
      <c r="O133" s="22" t="s">
        <v>66</v>
      </c>
      <c r="P133" s="22">
        <f>((((B132-P132)^2+(B133-P132)^2+(B134-P132)^2+(B135-P132)^2+(B136-P132)^2+(B137-P132)^2+(B138-P132)^2+(B139-P132)^2+(B140-P132)^2+(B141-P132)^2+(B142-P132)^2+(B143-P132)^2))/(12-1))^0.5</f>
        <v>58.551205251161448</v>
      </c>
      <c r="Q133" s="89">
        <v>59.5</v>
      </c>
      <c r="R133" s="89"/>
      <c r="S133" s="10">
        <v>6.3575000000000003E-3</v>
      </c>
      <c r="T133" s="10">
        <v>0.75</v>
      </c>
      <c r="U133" s="10">
        <v>0.68899999999999995</v>
      </c>
      <c r="V133" s="5"/>
    </row>
    <row r="134" spans="1:22" x14ac:dyDescent="0.25">
      <c r="A134" s="22" t="s">
        <v>2</v>
      </c>
      <c r="B134" s="10">
        <v>96.7</v>
      </c>
      <c r="C134" s="10">
        <v>6.4999999999999997E-3</v>
      </c>
      <c r="D134" s="28">
        <v>7.3339999999999996</v>
      </c>
      <c r="E134" s="63">
        <f t="shared" ref="E134:E143" si="48">C134*(($Z$45^F$24)*(((0.7*B134)+(0.29*B133)+(0.01*B132))^(F$15)))</f>
        <v>7.325037269318516</v>
      </c>
      <c r="F134" s="63">
        <f t="shared" ref="F134:F143" si="49">S135*(($Z$45^U135)*(((0.7*B134)+(0.29*B133)+(0.01*B132))^(T135)))</f>
        <v>59.424129883854498</v>
      </c>
      <c r="G134" s="74">
        <f>(5.01*(B134^0.59)*$Z$45)/(86.4*I$13)</f>
        <v>96.835590140961145</v>
      </c>
      <c r="H134" s="74">
        <f t="shared" si="44"/>
        <v>32.354114550821315</v>
      </c>
      <c r="I134" s="22">
        <f t="shared" si="45"/>
        <v>0.29426963721973115</v>
      </c>
      <c r="J134" s="32">
        <v>4.7</v>
      </c>
      <c r="K134" s="22" t="s">
        <v>72</v>
      </c>
      <c r="L134" s="10">
        <f>EXP(1)</f>
        <v>2.7182818284590451</v>
      </c>
      <c r="M134" s="22">
        <f t="shared" si="47"/>
        <v>53.372108114140531</v>
      </c>
      <c r="N134" s="10">
        <f t="shared" si="46"/>
        <v>1.0146788614855613</v>
      </c>
      <c r="O134" s="22"/>
      <c r="P134" s="22"/>
      <c r="Q134" s="89">
        <v>52.6</v>
      </c>
      <c r="R134" s="89"/>
      <c r="S134" s="10">
        <v>6.9087999999999997E-3</v>
      </c>
      <c r="T134" s="10">
        <v>0.73799999999999999</v>
      </c>
      <c r="U134" s="10">
        <v>0.68700000000000006</v>
      </c>
      <c r="V134" s="5"/>
    </row>
    <row r="135" spans="1:22" x14ac:dyDescent="0.25">
      <c r="A135" s="22" t="s">
        <v>3</v>
      </c>
      <c r="B135" s="10">
        <v>166.3</v>
      </c>
      <c r="C135" s="10">
        <v>6.7999999999999996E-3</v>
      </c>
      <c r="D135" s="28">
        <v>8.6549999999999994</v>
      </c>
      <c r="E135" s="63">
        <f t="shared" si="48"/>
        <v>8.6451393821063345</v>
      </c>
      <c r="F135" s="63">
        <f t="shared" si="49"/>
        <v>83.461506842856551</v>
      </c>
      <c r="G135" s="74">
        <f>(5.01*(B135^0.59)*$Z$45)/(86.4*I$14)</f>
        <v>137.78446366475538</v>
      </c>
      <c r="H135" s="74">
        <f t="shared" si="44"/>
        <v>7.4115500689698282</v>
      </c>
      <c r="I135" s="22">
        <f t="shared" si="45"/>
        <v>6.7410101630373864E-2</v>
      </c>
      <c r="J135" s="32">
        <v>4.7</v>
      </c>
      <c r="K135" s="22"/>
      <c r="L135" s="22"/>
      <c r="M135" s="22">
        <f t="shared" si="47"/>
        <v>122.97210811414054</v>
      </c>
      <c r="N135" s="10">
        <f t="shared" si="46"/>
        <v>1.8745748188131182</v>
      </c>
      <c r="O135" s="22"/>
      <c r="P135" s="22"/>
      <c r="Q135" s="89">
        <v>65.599999999999994</v>
      </c>
      <c r="R135" s="89"/>
      <c r="S135" s="10">
        <v>6.5123000000000004E-3</v>
      </c>
      <c r="T135" s="10">
        <v>0.73</v>
      </c>
      <c r="U135" s="10">
        <v>0.69</v>
      </c>
      <c r="V135" s="5"/>
    </row>
    <row r="136" spans="1:22" x14ac:dyDescent="0.25">
      <c r="A136" s="22" t="s">
        <v>4</v>
      </c>
      <c r="B136" s="10">
        <v>62.5</v>
      </c>
      <c r="C136" s="10">
        <v>5.8999999999999999E-3</v>
      </c>
      <c r="D136" s="28">
        <v>5.7450000000000001</v>
      </c>
      <c r="E136" s="63">
        <f t="shared" si="48"/>
        <v>5.7380320795959134</v>
      </c>
      <c r="F136" s="63">
        <f t="shared" si="49"/>
        <v>72.74247887747913</v>
      </c>
      <c r="G136" s="74">
        <f>(5.01*(B136^0.59)*$Z$45)/(86.4*I$15)</f>
        <v>74.851859567797007</v>
      </c>
      <c r="H136" s="74">
        <f t="shared" si="44"/>
        <v>110.64141228255204</v>
      </c>
      <c r="I136" s="22">
        <f t="shared" si="45"/>
        <v>1.0063143036327906</v>
      </c>
      <c r="J136" s="32">
        <v>4.7</v>
      </c>
      <c r="K136" s="22" t="s">
        <v>77</v>
      </c>
      <c r="L136" s="22">
        <v>86400</v>
      </c>
      <c r="M136" s="22">
        <f t="shared" si="47"/>
        <v>19.172108114140528</v>
      </c>
      <c r="N136" s="10">
        <f t="shared" si="46"/>
        <v>0.29724198626574461</v>
      </c>
      <c r="O136" s="22"/>
      <c r="P136" s="22"/>
      <c r="Q136" s="89">
        <v>64.5</v>
      </c>
      <c r="R136" s="89"/>
      <c r="S136" s="10">
        <v>6.8084E-3</v>
      </c>
      <c r="T136" s="10">
        <v>0.76100000000000001</v>
      </c>
      <c r="U136" s="10">
        <v>0.68899999999999995</v>
      </c>
      <c r="V136" s="5"/>
    </row>
    <row r="137" spans="1:22" x14ac:dyDescent="0.25">
      <c r="A137" s="22" t="s">
        <v>5</v>
      </c>
      <c r="B137" s="10">
        <v>27.8</v>
      </c>
      <c r="C137" s="10">
        <v>5.3E-3</v>
      </c>
      <c r="D137" s="28">
        <v>3.1</v>
      </c>
      <c r="E137" s="63">
        <f t="shared" si="48"/>
        <v>3.0957928575247049</v>
      </c>
      <c r="F137" s="63">
        <f t="shared" si="49"/>
        <v>60.171476466189958</v>
      </c>
      <c r="G137" s="74">
        <f>(5.01*(B137^0.59)*$Z$45)/(86.4*I$16)</f>
        <v>47.957910470469564</v>
      </c>
      <c r="H137" s="74">
        <f t="shared" si="44"/>
        <v>130.50289087160712</v>
      </c>
      <c r="I137" s="22">
        <f t="shared" si="45"/>
        <v>2.6416279604445685</v>
      </c>
      <c r="J137" s="32">
        <v>3.9</v>
      </c>
      <c r="K137" s="22" t="s">
        <v>78</v>
      </c>
      <c r="L137" s="22">
        <f>L136*15</f>
        <v>1296000</v>
      </c>
      <c r="M137" s="22">
        <f t="shared" si="47"/>
        <v>-15.527891885859471</v>
      </c>
      <c r="N137" s="10">
        <f t="shared" si="46"/>
        <v>-0.26588855968937453</v>
      </c>
      <c r="O137" s="22" t="s">
        <v>67</v>
      </c>
      <c r="P137" s="22">
        <v>0.65</v>
      </c>
      <c r="Q137" s="89">
        <v>58.4</v>
      </c>
      <c r="R137" s="89"/>
      <c r="S137" s="10">
        <v>6.9248000000000001E-3</v>
      </c>
      <c r="T137" s="10">
        <v>0.78500000000000003</v>
      </c>
      <c r="U137" s="10">
        <v>0.69899999999999995</v>
      </c>
      <c r="V137" s="5"/>
    </row>
    <row r="138" spans="1:22" x14ac:dyDescent="0.25">
      <c r="A138" s="22" t="s">
        <v>6</v>
      </c>
      <c r="B138" s="10">
        <v>14.5</v>
      </c>
      <c r="C138" s="10">
        <v>4.7999999999999996E-3</v>
      </c>
      <c r="D138" s="28">
        <v>1.819</v>
      </c>
      <c r="E138" s="63">
        <f t="shared" si="48"/>
        <v>1.8163598432046788</v>
      </c>
      <c r="F138" s="63">
        <f t="shared" si="49"/>
        <v>45.357726033719239</v>
      </c>
      <c r="G138" s="74">
        <f>(5.01*(B138^0.59)*$Z$45)/(86.4*I$17)</f>
        <v>31.611165258957321</v>
      </c>
      <c r="H138" s="74">
        <f t="shared" si="44"/>
        <v>43.791811743296883</v>
      </c>
      <c r="I138" s="22">
        <f t="shared" si="45"/>
        <v>3.9727035321871886</v>
      </c>
      <c r="J138" s="32">
        <v>2.4</v>
      </c>
      <c r="K138" s="22"/>
      <c r="L138" s="22"/>
      <c r="M138" s="22">
        <f t="shared" si="47"/>
        <v>-28.827891885859472</v>
      </c>
      <c r="N138" s="10">
        <f t="shared" si="46"/>
        <v>-0.50398412387866209</v>
      </c>
      <c r="O138" s="22" t="s">
        <v>68</v>
      </c>
      <c r="P138" s="22">
        <v>0.45</v>
      </c>
      <c r="Q138" s="89">
        <v>57.2</v>
      </c>
      <c r="R138" s="89"/>
      <c r="S138" s="10">
        <v>7.2137E-3</v>
      </c>
      <c r="T138" s="10">
        <v>0.85099999999999998</v>
      </c>
      <c r="U138" s="10">
        <v>0.72399999999999998</v>
      </c>
      <c r="V138" s="5"/>
    </row>
    <row r="139" spans="1:22" x14ac:dyDescent="0.25">
      <c r="A139" s="22" t="s">
        <v>7</v>
      </c>
      <c r="B139" s="10">
        <v>19.8</v>
      </c>
      <c r="C139" s="10">
        <v>5.1000000000000004E-3</v>
      </c>
      <c r="D139" s="28">
        <v>1.9019999999999999</v>
      </c>
      <c r="E139" s="63">
        <f t="shared" si="48"/>
        <v>1.8997895484190759</v>
      </c>
      <c r="F139" s="63">
        <f t="shared" si="49"/>
        <v>34.260392953336769</v>
      </c>
      <c r="G139" s="74">
        <f>(5.01*(B139^0.59)*$Z$45)/(86.4*I$18)</f>
        <v>37.989698438398158</v>
      </c>
      <c r="H139" s="74">
        <f t="shared" si="44"/>
        <v>10.258660263908</v>
      </c>
      <c r="I139" s="22">
        <f t="shared" si="45"/>
        <v>3.4148113593375142</v>
      </c>
      <c r="J139" s="32">
        <v>1.1000000000000001</v>
      </c>
      <c r="K139" s="22"/>
      <c r="L139" s="22"/>
      <c r="M139" s="22">
        <f t="shared" si="47"/>
        <v>-23.527891885859471</v>
      </c>
      <c r="N139" s="10">
        <f t="shared" si="46"/>
        <v>-0.41568713579257016</v>
      </c>
      <c r="O139" s="22" t="s">
        <v>69</v>
      </c>
      <c r="P139" s="22">
        <f>-1+(EXP(1)*(0.5*P140))</f>
        <v>3.0774227426885679</v>
      </c>
      <c r="Q139" s="89">
        <v>56.6</v>
      </c>
      <c r="R139" s="89"/>
      <c r="S139" s="10">
        <v>7.0651999999999998E-3</v>
      </c>
      <c r="T139" s="10">
        <v>0.79400000000000004</v>
      </c>
      <c r="U139" s="10">
        <v>0.78900000000000003</v>
      </c>
      <c r="V139" s="5"/>
    </row>
    <row r="140" spans="1:22" x14ac:dyDescent="0.25">
      <c r="A140" s="22" t="s">
        <v>8</v>
      </c>
      <c r="B140" s="10">
        <v>154.69999999999999</v>
      </c>
      <c r="C140" s="10">
        <v>6.8999999999999999E-3</v>
      </c>
      <c r="D140" s="28">
        <v>7.5880000000000001</v>
      </c>
      <c r="E140" s="63">
        <f t="shared" si="48"/>
        <v>7.5788646744873729</v>
      </c>
      <c r="F140" s="63">
        <f t="shared" si="49"/>
        <v>50.838495812762261</v>
      </c>
      <c r="G140" s="74">
        <f>(5.01*(B140^0.59)*$Z$45)/(86.4*I$19)</f>
        <v>132.0301473861864</v>
      </c>
      <c r="H140" s="74">
        <f t="shared" si="44"/>
        <v>0.15749324550957911</v>
      </c>
      <c r="I140" s="22">
        <f t="shared" si="45"/>
        <v>5.2424947307901683E-2</v>
      </c>
      <c r="J140" s="32">
        <v>1.1000000000000001</v>
      </c>
      <c r="K140" s="22"/>
      <c r="L140" s="22"/>
      <c r="M140" s="22">
        <f t="shared" si="47"/>
        <v>111.37210811414052</v>
      </c>
      <c r="N140" s="10">
        <f t="shared" si="46"/>
        <v>2.0212723795669785</v>
      </c>
      <c r="O140" s="22" t="s">
        <v>74</v>
      </c>
      <c r="P140" s="22">
        <v>3</v>
      </c>
      <c r="Q140" s="89">
        <v>55.1</v>
      </c>
      <c r="R140" s="89"/>
      <c r="S140" s="10">
        <v>6.5909999999999996E-3</v>
      </c>
      <c r="T140" s="10">
        <v>0.81</v>
      </c>
      <c r="U140" s="10">
        <v>0.76</v>
      </c>
      <c r="V140" s="5"/>
    </row>
    <row r="141" spans="1:22" ht="18.75" x14ac:dyDescent="0.3">
      <c r="A141" s="22" t="s">
        <v>9</v>
      </c>
      <c r="B141" s="10">
        <v>110.5</v>
      </c>
      <c r="C141" s="10">
        <v>6.4999999999999997E-3</v>
      </c>
      <c r="D141" s="28">
        <v>7.4489999999999998</v>
      </c>
      <c r="E141" s="63">
        <f t="shared" si="48"/>
        <v>7.4396554859828186</v>
      </c>
      <c r="F141" s="63">
        <f t="shared" si="49"/>
        <v>55.014370949924945</v>
      </c>
      <c r="G141" s="74">
        <f>(5.01*(B141^0.59)*$Z$45)/(86.4*I$20)</f>
        <v>104.76521966396237</v>
      </c>
      <c r="H141" s="74">
        <f t="shared" si="44"/>
        <v>2.5627718624315832</v>
      </c>
      <c r="I141" s="22">
        <f t="shared" si="45"/>
        <v>0.23248941810749121</v>
      </c>
      <c r="J141" s="32">
        <v>2.4</v>
      </c>
      <c r="K141" s="22"/>
      <c r="L141" s="22"/>
      <c r="M141" s="22">
        <f t="shared" si="47"/>
        <v>67.172108114140528</v>
      </c>
      <c r="N141" s="10">
        <f t="shared" si="46"/>
        <v>1.1521802420950349</v>
      </c>
      <c r="O141" s="45" t="s">
        <v>75</v>
      </c>
      <c r="P141" s="10"/>
      <c r="Q141" s="89">
        <v>58.3</v>
      </c>
      <c r="R141" s="89"/>
      <c r="S141" s="10">
        <v>6.9319999999999998E-3</v>
      </c>
      <c r="T141" s="10">
        <v>0.72499999999999998</v>
      </c>
      <c r="U141" s="10">
        <v>0.67</v>
      </c>
      <c r="V141" s="5"/>
    </row>
    <row r="142" spans="1:22" x14ac:dyDescent="0.25">
      <c r="A142" s="22" t="s">
        <v>10</v>
      </c>
      <c r="B142" s="10">
        <v>88.6</v>
      </c>
      <c r="C142" s="10">
        <v>6.4000000000000003E-3</v>
      </c>
      <c r="D142" s="28">
        <v>6.3369999999999997</v>
      </c>
      <c r="E142" s="63">
        <f t="shared" si="48"/>
        <v>6.3293572832616833</v>
      </c>
      <c r="F142" s="63">
        <f t="shared" si="49"/>
        <v>50.564144940640773</v>
      </c>
      <c r="G142" s="74">
        <f>(5.01*(B142^0.59)*$Z$45)/(86.4*I$21)</f>
        <v>95.029778921939041</v>
      </c>
      <c r="H142" s="74">
        <f t="shared" si="44"/>
        <v>22.311547162532509</v>
      </c>
      <c r="I142" s="22">
        <f t="shared" si="45"/>
        <v>0.45162836188287547</v>
      </c>
      <c r="J142" s="32">
        <v>3.9</v>
      </c>
      <c r="K142" s="22"/>
      <c r="L142" s="22"/>
      <c r="M142" s="22">
        <f t="shared" si="47"/>
        <v>45.272108114140522</v>
      </c>
      <c r="N142" s="10">
        <f t="shared" si="46"/>
        <v>0.76473155598210341</v>
      </c>
      <c r="O142" s="10"/>
      <c r="P142" s="22"/>
      <c r="Q142" s="89">
        <v>59.2</v>
      </c>
      <c r="R142" s="89"/>
      <c r="S142" s="10">
        <v>6.5104999999999998E-3</v>
      </c>
      <c r="T142" s="10">
        <v>0.72699999999999998</v>
      </c>
      <c r="U142" s="10">
        <v>0.68</v>
      </c>
      <c r="V142" s="5"/>
    </row>
    <row r="143" spans="1:22" x14ac:dyDescent="0.25">
      <c r="A143" s="22" t="s">
        <v>11</v>
      </c>
      <c r="B143" s="10">
        <v>21.7</v>
      </c>
      <c r="C143" s="10">
        <v>5.1000000000000004E-3</v>
      </c>
      <c r="D143" s="28">
        <v>3.1040000000000001</v>
      </c>
      <c r="E143" s="63">
        <f t="shared" si="48"/>
        <v>3.1003039938203427</v>
      </c>
      <c r="F143" s="63">
        <f t="shared" si="49"/>
        <v>42.999562085550807</v>
      </c>
      <c r="G143" s="74">
        <f>(5.01*(B143^0.59)*$Z$45)/(86.4*I$22)</f>
        <v>40.100023475110135</v>
      </c>
      <c r="H143" s="74">
        <f t="shared" si="44"/>
        <v>148.328775020591</v>
      </c>
      <c r="I143" s="22">
        <f t="shared" si="45"/>
        <v>3.0024579288314746</v>
      </c>
      <c r="J143" s="32">
        <v>3.9</v>
      </c>
      <c r="K143" s="22"/>
      <c r="L143" s="22"/>
      <c r="M143" s="22">
        <f t="shared" si="47"/>
        <v>-21.627891885859473</v>
      </c>
      <c r="N143" s="10">
        <f t="shared" si="46"/>
        <v>-0.34059672261196022</v>
      </c>
      <c r="O143" s="22"/>
      <c r="P143" s="22"/>
      <c r="Q143" s="89">
        <v>63.5</v>
      </c>
      <c r="R143" s="89"/>
      <c r="S143" s="10">
        <v>6.4082000000000002E-3</v>
      </c>
      <c r="T143" s="10">
        <v>0.746</v>
      </c>
      <c r="U143" s="10">
        <v>0.68300000000000005</v>
      </c>
      <c r="V143" s="5"/>
    </row>
    <row r="144" spans="1:22" x14ac:dyDescent="0.25">
      <c r="A144" s="22" t="s">
        <v>12</v>
      </c>
      <c r="B144" s="32">
        <v>1985</v>
      </c>
      <c r="C144" s="32">
        <v>1985</v>
      </c>
      <c r="D144" s="72">
        <v>1985</v>
      </c>
      <c r="E144" s="32">
        <v>1985</v>
      </c>
      <c r="F144" s="32">
        <v>1985</v>
      </c>
      <c r="G144" s="71">
        <v>1985</v>
      </c>
      <c r="H144" s="71">
        <v>1985</v>
      </c>
      <c r="I144" s="32">
        <v>1985</v>
      </c>
      <c r="J144" s="47" t="s">
        <v>70</v>
      </c>
      <c r="K144" s="49" t="s">
        <v>61</v>
      </c>
      <c r="L144" s="49" t="s">
        <v>62</v>
      </c>
      <c r="M144" s="39" t="s">
        <v>60</v>
      </c>
      <c r="N144" s="39" t="s">
        <v>73</v>
      </c>
      <c r="O144" s="105" t="s">
        <v>57</v>
      </c>
      <c r="P144" s="105"/>
      <c r="Q144" s="10"/>
      <c r="R144" s="10"/>
      <c r="S144" s="10">
        <v>7.2757000000000004E-3</v>
      </c>
      <c r="T144" s="10">
        <v>0.79800000000000004</v>
      </c>
      <c r="U144" s="10">
        <v>0.69899999999999995</v>
      </c>
      <c r="V144" s="5"/>
    </row>
    <row r="145" spans="1:22" x14ac:dyDescent="0.25">
      <c r="A145" s="22" t="s">
        <v>0</v>
      </c>
      <c r="B145" s="10">
        <v>58.6</v>
      </c>
      <c r="C145" s="10">
        <v>5.8999999999999999E-3</v>
      </c>
      <c r="D145" s="28">
        <f>3896/1000</f>
        <v>3.8959999999999999</v>
      </c>
      <c r="E145" s="63">
        <f>C145*(($Z$45^F$24)*(((0.7*B145)+(0.29*B143)+(0.01*B142))^(F$15)))</f>
        <v>3.8914481970253099</v>
      </c>
      <c r="F145" s="63">
        <f>S146*(($Z$45^U$55)*(((0.7*B145)+(0.29*B143)+(0.01*B142))^(T$55)))</f>
        <v>27.741234347684934</v>
      </c>
      <c r="G145" s="74">
        <f>(5.01*(B145^0.59)*$Z$45)/(86.4*I$11)</f>
        <v>72.059787543522916</v>
      </c>
      <c r="H145" s="74">
        <f t="shared" ref="H145:H156" si="50">L$30^(J145-(0.6458446*LN(P$34))-(9.53942*N145*(P$34/P$33))+(4.8904*N145))</f>
        <v>34.644045363732943</v>
      </c>
      <c r="I145" s="22">
        <f t="shared" ref="I145:I156" si="51">L$30^(K$28-(0.6458446*LN(P$34))-(9.53942*N145*(P$34/P$33))+(4.8904*N145))</f>
        <v>0.70126169837711894</v>
      </c>
      <c r="J145" s="32">
        <v>3.9</v>
      </c>
      <c r="K145" s="22">
        <f>(10^-8)*((P152/P151)^-7.2474)</f>
        <v>8.8839224002565862E-15</v>
      </c>
      <c r="L145" s="22">
        <f>(-3.2951*(P151/P150))+5.33</f>
        <v>3.0487769230769231</v>
      </c>
      <c r="M145" s="22">
        <f>(B145-(0.74*P$146))</f>
        <v>33.222001375565135</v>
      </c>
      <c r="N145" s="10">
        <f t="shared" ref="N145:N156" si="52">M145/Q145</f>
        <v>0.50798167240925274</v>
      </c>
      <c r="O145" s="22" t="s">
        <v>58</v>
      </c>
      <c r="P145" s="22">
        <f>(B145+B146+B147+B148+B149+B150+B151+B152+B153+B154+B155+B156)/12</f>
        <v>60.949999999999996</v>
      </c>
      <c r="Q145" s="89">
        <v>65.400000000000006</v>
      </c>
      <c r="R145" s="89"/>
      <c r="S145" s="32">
        <v>1985</v>
      </c>
      <c r="T145" s="32">
        <v>1985</v>
      </c>
      <c r="U145" s="32">
        <v>1985</v>
      </c>
      <c r="V145" s="5"/>
    </row>
    <row r="146" spans="1:22" x14ac:dyDescent="0.25">
      <c r="A146" s="22" t="s">
        <v>1</v>
      </c>
      <c r="B146" s="10">
        <v>36.4</v>
      </c>
      <c r="C146" s="10">
        <v>5.5999999999999999E-3</v>
      </c>
      <c r="D146" s="28">
        <f>3442/1000</f>
        <v>3.4420000000000002</v>
      </c>
      <c r="E146" s="63">
        <f>C146*(($Z$45^F$24)*(((0.7*B146)+(0.29*B145)+(0.01*B143))^(F$15)))</f>
        <v>3.4377994480292084</v>
      </c>
      <c r="F146" s="63">
        <f>S147*(($Z$45^U147)*(((0.7*B146)+(0.29*B145)+(0.01*B143))^(T147)))</f>
        <v>29.940708223669699</v>
      </c>
      <c r="G146" s="74">
        <f>(5.01*(B146^0.59)*$Z$45)/(86.4*I$12)</f>
        <v>60.240263482003812</v>
      </c>
      <c r="H146" s="74">
        <f t="shared" si="50"/>
        <v>24.489357376704675</v>
      </c>
      <c r="I146" s="22">
        <f t="shared" si="51"/>
        <v>1.2192533099990597</v>
      </c>
      <c r="J146" s="32">
        <v>3</v>
      </c>
      <c r="K146" s="22"/>
      <c r="L146" s="22"/>
      <c r="M146" s="22">
        <f t="shared" ref="M146:M156" si="53">(B146-(0.74*P$146))</f>
        <v>11.022001375565132</v>
      </c>
      <c r="N146" s="10">
        <f t="shared" si="52"/>
        <v>0.18524372059773331</v>
      </c>
      <c r="O146" s="22" t="s">
        <v>66</v>
      </c>
      <c r="P146" s="22">
        <f>((((B145-P145)^2+(B146-P145)^2+(B147-P145)^2+(B148-P145)^2+(B149-P145)^2+(B150-P145)^2+(B151-P145)^2+(B152-P145)^2+(B153-P145)^2+(B154-P145)^2+(B155-P145)^2+(B156-P145)^2))/(12-1))^0.5</f>
        <v>34.294592735722794</v>
      </c>
      <c r="Q146" s="89">
        <v>59.5</v>
      </c>
      <c r="R146" s="89"/>
      <c r="S146" s="10">
        <v>7.0384000000000002E-3</v>
      </c>
      <c r="T146" s="10">
        <v>0.76</v>
      </c>
      <c r="U146" s="10">
        <v>0.69099999999999995</v>
      </c>
      <c r="V146" s="5"/>
    </row>
    <row r="147" spans="1:22" x14ac:dyDescent="0.25">
      <c r="A147" s="22" t="s">
        <v>2</v>
      </c>
      <c r="B147" s="10">
        <v>60.4</v>
      </c>
      <c r="C147" s="10">
        <v>6.1000000000000004E-3</v>
      </c>
      <c r="D147" s="28">
        <f>4281/1000</f>
        <v>4.2809999999999997</v>
      </c>
      <c r="E147" s="63">
        <f t="shared" ref="E147:E156" si="54">C147*(($Z$45^F$24)*(((0.7*B147)+(0.29*B146)+(0.01*B145))^(F$15)))</f>
        <v>4.275758680622654</v>
      </c>
      <c r="F147" s="63">
        <f t="shared" ref="F147:F156" si="55">S148*(($Z$45^U148)*(((0.7*B147)+(0.29*B146)+(0.01*B145))^(T148)))</f>
        <v>33.406756793506801</v>
      </c>
      <c r="G147" s="74">
        <f>(5.01*(B147^0.59)*$Z$45)/(86.4*I$13)</f>
        <v>73.357610701584747</v>
      </c>
      <c r="H147" s="74">
        <f t="shared" si="50"/>
        <v>26.433300678902981</v>
      </c>
      <c r="I147" s="22">
        <f t="shared" si="51"/>
        <v>0.53506053156268019</v>
      </c>
      <c r="J147" s="32">
        <v>3.9</v>
      </c>
      <c r="K147" s="22" t="s">
        <v>72</v>
      </c>
      <c r="L147" s="10">
        <f>EXP(1)</f>
        <v>2.7182818284590451</v>
      </c>
      <c r="M147" s="22">
        <f>(B147-(0.74*P$146))</f>
        <v>35.022001375565132</v>
      </c>
      <c r="N147" s="10">
        <f t="shared" si="52"/>
        <v>0.66581751664572497</v>
      </c>
      <c r="O147" s="22"/>
      <c r="P147" s="22"/>
      <c r="Q147" s="89">
        <v>52.6</v>
      </c>
      <c r="R147" s="89"/>
      <c r="S147" s="10">
        <v>6.4218000000000001E-3</v>
      </c>
      <c r="T147" s="10">
        <v>0.74</v>
      </c>
      <c r="U147" s="10">
        <v>0.69499999999999995</v>
      </c>
      <c r="V147" s="5"/>
    </row>
    <row r="148" spans="1:22" x14ac:dyDescent="0.25">
      <c r="A148" s="22" t="s">
        <v>3</v>
      </c>
      <c r="B148" s="10">
        <v>128.69999999999999</v>
      </c>
      <c r="C148" s="10">
        <v>6.4999999999999997E-3</v>
      </c>
      <c r="D148" s="28">
        <f>6916/1000</f>
        <v>6.9160000000000004</v>
      </c>
      <c r="E148" s="63">
        <f t="shared" si="54"/>
        <v>6.9073642363582204</v>
      </c>
      <c r="F148" s="63">
        <f t="shared" si="55"/>
        <v>36.520364580225021</v>
      </c>
      <c r="G148" s="74">
        <f>(5.01*(B148^0.59)*$Z$45)/(86.4*I$14)</f>
        <v>118.44730006223642</v>
      </c>
      <c r="H148" s="74">
        <f t="shared" si="50"/>
        <v>5.564475828854806</v>
      </c>
      <c r="I148" s="22">
        <f t="shared" si="51"/>
        <v>0.11263562696999911</v>
      </c>
      <c r="J148" s="32">
        <v>3.9</v>
      </c>
      <c r="K148" s="22"/>
      <c r="L148" s="22"/>
      <c r="M148" s="22">
        <f t="shared" si="53"/>
        <v>103.32200137556512</v>
      </c>
      <c r="N148" s="10">
        <f t="shared" si="52"/>
        <v>1.5750305087738588</v>
      </c>
      <c r="O148" s="22"/>
      <c r="P148" s="22"/>
      <c r="Q148" s="89">
        <v>65.599999999999994</v>
      </c>
      <c r="R148" s="89"/>
      <c r="S148" s="10">
        <v>6.4186E-3</v>
      </c>
      <c r="T148" s="10">
        <v>0.72799999999999998</v>
      </c>
      <c r="U148" s="10">
        <v>0.69399999999999995</v>
      </c>
      <c r="V148" s="5"/>
    </row>
    <row r="149" spans="1:22" x14ac:dyDescent="0.25">
      <c r="A149" s="22" t="s">
        <v>4</v>
      </c>
      <c r="B149" s="10">
        <v>108.3</v>
      </c>
      <c r="C149" s="10">
        <v>6.4000000000000003E-3</v>
      </c>
      <c r="D149" s="28">
        <f>7022/1000</f>
        <v>7.0220000000000002</v>
      </c>
      <c r="E149" s="63">
        <f t="shared" si="54"/>
        <v>7.0136384585143583</v>
      </c>
      <c r="F149" s="63">
        <f t="shared" si="55"/>
        <v>46.139881821399115</v>
      </c>
      <c r="G149" s="74">
        <f>(5.01*(B149^0.59)*$Z$45)/(86.4*I$15)</f>
        <v>103.52951352301768</v>
      </c>
      <c r="H149" s="74">
        <f t="shared" si="50"/>
        <v>20.336382227711841</v>
      </c>
      <c r="I149" s="22">
        <f t="shared" si="51"/>
        <v>0.18496503160704289</v>
      </c>
      <c r="J149" s="32">
        <v>4.7</v>
      </c>
      <c r="K149" s="22" t="s">
        <v>77</v>
      </c>
      <c r="L149" s="22">
        <v>86400</v>
      </c>
      <c r="M149" s="22">
        <f t="shared" si="53"/>
        <v>82.922001375565131</v>
      </c>
      <c r="N149" s="10">
        <f t="shared" si="52"/>
        <v>1.2856124244273663</v>
      </c>
      <c r="O149" s="22"/>
      <c r="P149" s="22"/>
      <c r="Q149" s="89">
        <v>64.5</v>
      </c>
      <c r="R149" s="89"/>
      <c r="S149" s="10">
        <v>6.5883000000000001E-3</v>
      </c>
      <c r="T149" s="10">
        <v>0.7</v>
      </c>
      <c r="U149" s="10">
        <v>0.65500000000000003</v>
      </c>
      <c r="V149" s="5"/>
    </row>
    <row r="150" spans="1:22" x14ac:dyDescent="0.25">
      <c r="A150" s="22" t="s">
        <v>5</v>
      </c>
      <c r="B150" s="10">
        <v>27.7</v>
      </c>
      <c r="C150" s="10">
        <v>5.3E-3</v>
      </c>
      <c r="D150" s="28">
        <f>3664/1000</f>
        <v>3.6640000000000001</v>
      </c>
      <c r="E150" s="63">
        <f t="shared" si="54"/>
        <v>3.6596932864400626</v>
      </c>
      <c r="F150" s="63">
        <f t="shared" si="55"/>
        <v>38.293392678119559</v>
      </c>
      <c r="G150" s="74">
        <f>(5.01*(B150^0.59)*$Z$45)/(86.4*I$16)</f>
        <v>47.856054111940502</v>
      </c>
      <c r="H150" s="74">
        <f t="shared" si="50"/>
        <v>31.423943533008362</v>
      </c>
      <c r="I150" s="22">
        <f t="shared" si="51"/>
        <v>1.5645060250657974</v>
      </c>
      <c r="J150" s="32">
        <v>3</v>
      </c>
      <c r="K150" s="22" t="s">
        <v>78</v>
      </c>
      <c r="L150" s="22">
        <f>L149*15</f>
        <v>1296000</v>
      </c>
      <c r="M150" s="22">
        <f t="shared" si="53"/>
        <v>2.322001375565133</v>
      </c>
      <c r="N150" s="10">
        <f t="shared" si="52"/>
        <v>3.9760297526800222E-2</v>
      </c>
      <c r="O150" s="22" t="s">
        <v>67</v>
      </c>
      <c r="P150" s="22">
        <v>0.65</v>
      </c>
      <c r="Q150" s="89">
        <v>58.4</v>
      </c>
      <c r="R150" s="89"/>
      <c r="S150" s="10">
        <v>6.5643999999999997E-3</v>
      </c>
      <c r="T150" s="10">
        <v>0.70799999999999996</v>
      </c>
      <c r="U150" s="10">
        <v>0.67500000000000004</v>
      </c>
      <c r="V150" s="5"/>
    </row>
    <row r="151" spans="1:22" x14ac:dyDescent="0.25">
      <c r="A151" s="22" t="s">
        <v>6</v>
      </c>
      <c r="B151" s="10">
        <v>12.9</v>
      </c>
      <c r="C151" s="10">
        <v>4.7000000000000002E-3</v>
      </c>
      <c r="D151" s="28">
        <f>1742/1000</f>
        <v>1.742</v>
      </c>
      <c r="E151" s="63">
        <f t="shared" si="54"/>
        <v>1.7396421566954448</v>
      </c>
      <c r="F151" s="63">
        <f t="shared" si="55"/>
        <v>37.5001148364125</v>
      </c>
      <c r="G151" s="74">
        <f>(5.01*(B151^0.59)*$Z$45)/(86.4*I$17)</f>
        <v>29.504028097761339</v>
      </c>
      <c r="H151" s="74">
        <f t="shared" si="50"/>
        <v>26.831456249218395</v>
      </c>
      <c r="I151" s="22">
        <f t="shared" si="51"/>
        <v>2.434094794703531</v>
      </c>
      <c r="J151" s="32">
        <v>2.4</v>
      </c>
      <c r="K151" s="22"/>
      <c r="L151" s="22"/>
      <c r="M151" s="22">
        <f t="shared" si="53"/>
        <v>-12.477998624434866</v>
      </c>
      <c r="N151" s="10">
        <f t="shared" si="52"/>
        <v>-0.21814682909851163</v>
      </c>
      <c r="O151" s="22" t="s">
        <v>68</v>
      </c>
      <c r="P151" s="22">
        <v>0.45</v>
      </c>
      <c r="Q151" s="89">
        <v>57.2</v>
      </c>
      <c r="R151" s="89"/>
      <c r="S151" s="10">
        <v>5.8365999999999999E-3</v>
      </c>
      <c r="T151" s="10">
        <v>0.78300000000000003</v>
      </c>
      <c r="U151" s="10">
        <v>0.69799999999999995</v>
      </c>
      <c r="V151" s="5"/>
    </row>
    <row r="152" spans="1:22" x14ac:dyDescent="0.25">
      <c r="A152" s="22" t="s">
        <v>7</v>
      </c>
      <c r="B152" s="10">
        <v>41.5</v>
      </c>
      <c r="C152" s="10">
        <v>5.7000000000000002E-3</v>
      </c>
      <c r="D152" s="28">
        <f>3012/1000</f>
        <v>3.012</v>
      </c>
      <c r="E152" s="63">
        <f t="shared" si="54"/>
        <v>3.0086143986049003</v>
      </c>
      <c r="F152" s="63">
        <f t="shared" si="55"/>
        <v>34.892198905651028</v>
      </c>
      <c r="G152" s="74">
        <f>(5.01*(B152^0.59)*$Z$45)/(86.4*I$18)</f>
        <v>58.787062669812144</v>
      </c>
      <c r="H152" s="74">
        <f t="shared" si="50"/>
        <v>3.0880734281466879</v>
      </c>
      <c r="I152" s="22">
        <f t="shared" si="51"/>
        <v>1.0279303485664406</v>
      </c>
      <c r="J152" s="32">
        <v>1.1000000000000001</v>
      </c>
      <c r="K152" s="22"/>
      <c r="L152" s="22"/>
      <c r="M152" s="22">
        <f t="shared" si="53"/>
        <v>16.122001375565134</v>
      </c>
      <c r="N152" s="10">
        <f t="shared" si="52"/>
        <v>0.28484101370256421</v>
      </c>
      <c r="O152" s="22" t="s">
        <v>69</v>
      </c>
      <c r="P152" s="22">
        <f>-1+(EXP(1)*(0.5*P153))</f>
        <v>3.0774227426885679</v>
      </c>
      <c r="Q152" s="89">
        <v>56.6</v>
      </c>
      <c r="R152" s="89"/>
      <c r="S152" s="10">
        <v>7.0439999999999999E-3</v>
      </c>
      <c r="T152" s="10">
        <v>0.81</v>
      </c>
      <c r="U152" s="10">
        <v>0.76400000000000001</v>
      </c>
      <c r="V152" s="5"/>
    </row>
    <row r="153" spans="1:22" x14ac:dyDescent="0.25">
      <c r="A153" s="22" t="s">
        <v>8</v>
      </c>
      <c r="B153" s="10">
        <v>87.1</v>
      </c>
      <c r="C153" s="10">
        <v>6.4000000000000003E-3</v>
      </c>
      <c r="D153" s="28">
        <f>5408/1000</f>
        <v>5.4080000000000004</v>
      </c>
      <c r="E153" s="63">
        <f t="shared" si="54"/>
        <v>5.401657886962159</v>
      </c>
      <c r="F153" s="63">
        <f t="shared" si="55"/>
        <v>33.150640420303667</v>
      </c>
      <c r="G153" s="74">
        <f>(5.01*(B153^0.59)*$Z$45)/(86.4*I$19)</f>
        <v>94.077232786004544</v>
      </c>
      <c r="H153" s="74">
        <f t="shared" si="50"/>
        <v>0.73780869871852106</v>
      </c>
      <c r="I153" s="22">
        <f t="shared" si="51"/>
        <v>0.24559518110430606</v>
      </c>
      <c r="J153" s="32">
        <v>1.1000000000000001</v>
      </c>
      <c r="K153" s="22"/>
      <c r="L153" s="22"/>
      <c r="M153" s="22">
        <f t="shared" si="53"/>
        <v>61.722001375565128</v>
      </c>
      <c r="N153" s="10">
        <f t="shared" si="52"/>
        <v>1.1201815131681512</v>
      </c>
      <c r="O153" s="22" t="s">
        <v>74</v>
      </c>
      <c r="P153" s="22">
        <v>3</v>
      </c>
      <c r="Q153" s="89">
        <v>55.1</v>
      </c>
      <c r="R153" s="89"/>
      <c r="S153" s="10">
        <v>6.6224999999999999E-3</v>
      </c>
      <c r="T153" s="10">
        <v>0.79400000000000004</v>
      </c>
      <c r="U153" s="10">
        <v>0.71</v>
      </c>
      <c r="V153" s="5"/>
    </row>
    <row r="154" spans="1:22" ht="18.75" x14ac:dyDescent="0.3">
      <c r="A154" s="22" t="s">
        <v>9</v>
      </c>
      <c r="B154" s="10">
        <v>36.799999999999997</v>
      </c>
      <c r="C154" s="10">
        <v>5.5999999999999999E-3</v>
      </c>
      <c r="D154" s="28">
        <f>3843/1000</f>
        <v>3.843</v>
      </c>
      <c r="E154" s="63">
        <f t="shared" si="54"/>
        <v>3.8382339509458294</v>
      </c>
      <c r="F154" s="63">
        <f t="shared" si="55"/>
        <v>30.23257304172656</v>
      </c>
      <c r="G154" s="74">
        <f>(5.01*(B154^0.59)*$Z$45)/(86.4*I$20)</f>
        <v>54.762541702609823</v>
      </c>
      <c r="H154" s="74">
        <f t="shared" si="50"/>
        <v>13.196418043210093</v>
      </c>
      <c r="I154" s="22">
        <f t="shared" si="51"/>
        <v>1.1971520356315042</v>
      </c>
      <c r="J154" s="32">
        <v>2.4</v>
      </c>
      <c r="K154" s="22"/>
      <c r="L154" s="22"/>
      <c r="M154" s="22">
        <f>(B154-(0.74*P$146))</f>
        <v>11.422001375565131</v>
      </c>
      <c r="N154" s="10">
        <f t="shared" si="52"/>
        <v>0.19591769083302113</v>
      </c>
      <c r="O154" s="45" t="s">
        <v>75</v>
      </c>
      <c r="P154" s="10"/>
      <c r="Q154" s="89">
        <v>58.3</v>
      </c>
      <c r="R154" s="89"/>
      <c r="S154" s="10">
        <v>6.4061999999999999E-3</v>
      </c>
      <c r="T154" s="10">
        <v>0.71899999999999997</v>
      </c>
      <c r="U154" s="10">
        <v>0.67</v>
      </c>
      <c r="V154" s="5"/>
    </row>
    <row r="155" spans="1:22" x14ac:dyDescent="0.25">
      <c r="A155" s="22" t="s">
        <v>10</v>
      </c>
      <c r="B155" s="10">
        <v>52.8</v>
      </c>
      <c r="C155" s="10">
        <v>5.8999999999999999E-3</v>
      </c>
      <c r="D155" s="28">
        <f>3911/1000</f>
        <v>3.911</v>
      </c>
      <c r="E155" s="63">
        <f t="shared" si="54"/>
        <v>3.9059444277778623</v>
      </c>
      <c r="F155" s="63">
        <f t="shared" si="55"/>
        <v>25.419209288044218</v>
      </c>
      <c r="G155" s="74">
        <f>(5.01*(B155^0.59)*$Z$45)/(86.4*I$21)</f>
        <v>70.020923977473245</v>
      </c>
      <c r="H155" s="74">
        <f t="shared" si="50"/>
        <v>37.406970293806303</v>
      </c>
      <c r="I155" s="22">
        <f t="shared" si="51"/>
        <v>0.75718858014306967</v>
      </c>
      <c r="J155" s="32">
        <v>3.9</v>
      </c>
      <c r="K155" s="22"/>
      <c r="L155" s="22"/>
      <c r="M155" s="22">
        <f t="shared" si="53"/>
        <v>27.422001375565131</v>
      </c>
      <c r="N155" s="10">
        <f t="shared" si="52"/>
        <v>0.46320948269535694</v>
      </c>
      <c r="O155" s="10"/>
      <c r="P155" s="22"/>
      <c r="Q155" s="89">
        <v>59.2</v>
      </c>
      <c r="R155" s="89"/>
      <c r="S155" s="10">
        <v>5.6127E-3</v>
      </c>
      <c r="T155" s="10">
        <v>0.752</v>
      </c>
      <c r="U155" s="10">
        <v>0.69</v>
      </c>
      <c r="V155" s="5"/>
    </row>
    <row r="156" spans="1:22" x14ac:dyDescent="0.25">
      <c r="A156" s="22" t="s">
        <v>11</v>
      </c>
      <c r="B156" s="10">
        <v>80.2</v>
      </c>
      <c r="C156" s="10">
        <v>6.1999999999999998E-3</v>
      </c>
      <c r="D156" s="28">
        <f>5183/1000</f>
        <v>5.1829999999999998</v>
      </c>
      <c r="E156" s="63">
        <f t="shared" si="54"/>
        <v>5.1770493814958147</v>
      </c>
      <c r="F156" s="63">
        <f t="shared" si="55"/>
        <v>28.574706597522241</v>
      </c>
      <c r="G156" s="74">
        <f>(5.01*(B156^0.59)*$Z$45)/(86.4*I$22)</f>
        <v>86.715405877131829</v>
      </c>
      <c r="H156" s="74">
        <f t="shared" si="50"/>
        <v>18.84241092961852</v>
      </c>
      <c r="I156" s="22">
        <f t="shared" si="51"/>
        <v>0.38140641346279841</v>
      </c>
      <c r="J156" s="32">
        <v>3.9</v>
      </c>
      <c r="K156" s="22"/>
      <c r="L156" s="22"/>
      <c r="M156" s="22">
        <f t="shared" si="53"/>
        <v>54.822001375565137</v>
      </c>
      <c r="N156" s="10">
        <f t="shared" si="52"/>
        <v>0.86333860433960841</v>
      </c>
      <c r="O156" s="22"/>
      <c r="P156" s="22"/>
      <c r="Q156" s="89">
        <v>63.5</v>
      </c>
      <c r="R156" s="89"/>
      <c r="S156" s="10">
        <v>5.9194E-3</v>
      </c>
      <c r="T156" s="10">
        <v>0.72599999999999998</v>
      </c>
      <c r="U156" s="10">
        <v>0.68</v>
      </c>
      <c r="V156" s="5"/>
    </row>
    <row r="157" spans="1:22" x14ac:dyDescent="0.25">
      <c r="A157" s="22" t="s">
        <v>12</v>
      </c>
      <c r="B157" s="32">
        <v>1986</v>
      </c>
      <c r="C157" s="32"/>
      <c r="D157" s="72"/>
      <c r="E157" s="32"/>
      <c r="F157" s="32"/>
      <c r="G157" s="71"/>
      <c r="H157" s="71"/>
      <c r="I157" s="32"/>
      <c r="J157" s="47" t="s">
        <v>70</v>
      </c>
      <c r="K157" s="49" t="s">
        <v>61</v>
      </c>
      <c r="L157" s="49" t="s">
        <v>62</v>
      </c>
      <c r="M157" s="39" t="s">
        <v>60</v>
      </c>
      <c r="N157" s="39" t="s">
        <v>73</v>
      </c>
      <c r="O157" s="105" t="s">
        <v>57</v>
      </c>
      <c r="P157" s="105"/>
      <c r="Q157" s="10"/>
      <c r="R157" s="10"/>
      <c r="S157" s="10">
        <v>6.2446000000000003E-3</v>
      </c>
      <c r="T157" s="10">
        <v>0.69899999999999995</v>
      </c>
      <c r="U157" s="10">
        <v>0.66700000000000004</v>
      </c>
      <c r="V157" s="5"/>
    </row>
    <row r="158" spans="1:22" x14ac:dyDescent="0.25">
      <c r="A158" s="22" t="s">
        <v>0</v>
      </c>
      <c r="B158" s="10">
        <v>98.4</v>
      </c>
      <c r="C158" s="10">
        <v>6.4000000000000003E-3</v>
      </c>
      <c r="D158" s="70">
        <v>6221</v>
      </c>
      <c r="E158" s="63">
        <f>C158*(($Z$45^F$24)*(((0.7*B158)+(0.29*B156)+(0.01*B155))^(F$15)))</f>
        <v>6.2132894071477072</v>
      </c>
      <c r="F158" s="63">
        <f>S159*(($Z$45^U$55)*(((0.7*B158)+(0.29*B156)+(0.01*B155))^(T$55)))</f>
        <v>40.583125914554458</v>
      </c>
      <c r="G158" s="74">
        <f>(5.01*(B158^0.59)*$Z$45)/(86.4*I$11)</f>
        <v>97.836406306879084</v>
      </c>
      <c r="H158" s="74">
        <f t="shared" ref="H158:H169" si="56">L$30^(J158-(0.6458446*LN(P$34))-(9.53942*N158*(P$34/P$33))+(4.8904*N158))</f>
        <v>39.360392399052458</v>
      </c>
      <c r="I158" s="22">
        <f t="shared" ref="I158:I169" si="57">L$30^(K$28-(0.6458446*LN(P$34))-(9.53942*N158*(P$34/P$33))+(4.8904*N158))</f>
        <v>0.35799367570086704</v>
      </c>
      <c r="J158" s="32">
        <v>4.7</v>
      </c>
      <c r="K158" s="22">
        <f>(10^-8)*((P165/P164)^-7.2474)</f>
        <v>8.8839224002565862E-15</v>
      </c>
      <c r="L158" s="22">
        <f>(-3.2951*(P164/P163))+5.33</f>
        <v>3.0487769230769231</v>
      </c>
      <c r="M158" s="22">
        <f>(B158-(0.74*P$159))</f>
        <v>58.879819821598325</v>
      </c>
      <c r="N158" s="10">
        <f t="shared" ref="N158:N169" si="58">M158/Q158</f>
        <v>0.9003030553761211</v>
      </c>
      <c r="O158" s="22" t="s">
        <v>58</v>
      </c>
      <c r="P158" s="22">
        <f>(B158+B159+B160+B161+B162+B163+B164+B165+B166+B167+B168+B169)/12</f>
        <v>73.416666666666671</v>
      </c>
      <c r="Q158" s="89">
        <v>65.400000000000006</v>
      </c>
      <c r="R158" s="89"/>
      <c r="S158" s="32">
        <v>1986</v>
      </c>
      <c r="T158" s="32">
        <v>1986</v>
      </c>
      <c r="U158" s="32">
        <v>1986</v>
      </c>
      <c r="V158" s="5"/>
    </row>
    <row r="159" spans="1:22" x14ac:dyDescent="0.25">
      <c r="A159" s="22" t="s">
        <v>1</v>
      </c>
      <c r="B159" s="10">
        <v>146.80000000000001</v>
      </c>
      <c r="C159" s="10">
        <v>6.7999999999999996E-3</v>
      </c>
      <c r="D159" s="70">
        <v>8151</v>
      </c>
      <c r="E159" s="63">
        <f>C159*(($Z$45^F$24)*(((0.7*B159)+(0.29*B158)+(0.01*B156))^(F$15)))</f>
        <v>8.1415809515419859</v>
      </c>
      <c r="F159" s="63">
        <f>S160*(($Z$45^U160)*(((0.7*B159)+(0.29*B158)+(0.01*B156))^(T160)))</f>
        <v>37.517604711792998</v>
      </c>
      <c r="G159" s="74">
        <f>(5.01*(B159^0.59)*$Z$45)/(86.4*I$12)</f>
        <v>137.15303399412329</v>
      </c>
      <c r="H159" s="74">
        <f t="shared" si="56"/>
        <v>8.3784882917341026</v>
      </c>
      <c r="I159" s="22">
        <f t="shared" si="57"/>
        <v>7.6204672706636292E-2</v>
      </c>
      <c r="J159" s="32">
        <v>4.7</v>
      </c>
      <c r="K159" s="22"/>
      <c r="L159" s="22"/>
      <c r="M159" s="22">
        <f t="shared" ref="M159:M169" si="59">(B159-(0.74*P$159))</f>
        <v>107.27981982159832</v>
      </c>
      <c r="N159" s="10">
        <f t="shared" si="58"/>
        <v>1.803022181875602</v>
      </c>
      <c r="O159" s="22" t="s">
        <v>66</v>
      </c>
      <c r="P159" s="22">
        <f>((((B158-P158)^2+(B159-P158)^2+(B160-P158)^2+(B161-P158)^2+(B162-P158)^2+(B163-P158)^2+(B164-P158)^2+(B165-P158)^2+(B166-P158)^2+(B167-P158)^2+(B168-P158)^2+(B169-P158)^2))/(12-1))^0.5</f>
        <v>53.405648889732007</v>
      </c>
      <c r="Q159" s="89">
        <v>59.5</v>
      </c>
      <c r="R159" s="89"/>
      <c r="S159" s="10">
        <v>6.4145000000000001E-3</v>
      </c>
      <c r="T159" s="10">
        <v>0.70099999999999996</v>
      </c>
      <c r="U159" s="10">
        <v>0.66600000000000004</v>
      </c>
      <c r="V159" s="5"/>
    </row>
    <row r="160" spans="1:22" x14ac:dyDescent="0.25">
      <c r="A160" s="22" t="s">
        <v>2</v>
      </c>
      <c r="B160" s="10">
        <v>148.80000000000001</v>
      </c>
      <c r="C160" s="10">
        <v>6.8999999999999999E-3</v>
      </c>
      <c r="D160" s="70">
        <v>8836</v>
      </c>
      <c r="E160" s="63">
        <f t="shared" ref="E160:E169" si="60">C160*(($Z$45^F$24)*(((0.7*B160)+(0.29*B159)+(0.01*B158))^(F$15)))</f>
        <v>8.8257040769865487</v>
      </c>
      <c r="F160" s="63">
        <f t="shared" ref="F160:F169" si="61">S161*(($Z$45^U161)*(((0.7*B160)+(0.29*B159)+(0.01*B158))^(T161)))</f>
        <v>79.942962128169626</v>
      </c>
      <c r="G160" s="74">
        <f>(5.01*(B160^0.59)*$Z$45)/(86.4*I$13)</f>
        <v>124.87316325846095</v>
      </c>
      <c r="H160" s="74">
        <f t="shared" si="56"/>
        <v>5.2338934771459042</v>
      </c>
      <c r="I160" s="22">
        <f t="shared" si="57"/>
        <v>4.7603711495400693E-2</v>
      </c>
      <c r="J160" s="32">
        <v>4.7</v>
      </c>
      <c r="K160" s="22" t="s">
        <v>72</v>
      </c>
      <c r="L160" s="10">
        <f>EXP(1)</f>
        <v>2.7182818284590451</v>
      </c>
      <c r="M160" s="22">
        <f t="shared" si="59"/>
        <v>109.27981982159832</v>
      </c>
      <c r="N160" s="10">
        <f t="shared" si="58"/>
        <v>2.0775631144790556</v>
      </c>
      <c r="O160" s="22"/>
      <c r="P160" s="22"/>
      <c r="Q160" s="89">
        <v>52.6</v>
      </c>
      <c r="R160" s="89"/>
      <c r="S160" s="10">
        <v>6.8057999999999999E-3</v>
      </c>
      <c r="T160" s="10">
        <v>0.69</v>
      </c>
      <c r="U160" s="10">
        <v>0.64300000000000002</v>
      </c>
      <c r="V160" s="5"/>
    </row>
    <row r="161" spans="1:22" x14ac:dyDescent="0.25">
      <c r="A161" s="22" t="s">
        <v>3</v>
      </c>
      <c r="B161" s="10">
        <v>121.6</v>
      </c>
      <c r="C161" s="10">
        <v>6.4999999999999997E-3</v>
      </c>
      <c r="D161" s="70">
        <v>7709</v>
      </c>
      <c r="E161" s="63">
        <f t="shared" si="60"/>
        <v>7.6999376545266491</v>
      </c>
      <c r="F161" s="63">
        <f t="shared" si="61"/>
        <v>60.278099847830447</v>
      </c>
      <c r="G161" s="74">
        <f>(5.01*(B161^0.59)*$Z$45)/(86.4*I$14)</f>
        <v>114.54724074728745</v>
      </c>
      <c r="H161" s="74">
        <f t="shared" si="56"/>
        <v>21.571203766431481</v>
      </c>
      <c r="I161" s="22">
        <f t="shared" si="57"/>
        <v>0.1961960756728405</v>
      </c>
      <c r="J161" s="32">
        <v>4.7</v>
      </c>
      <c r="K161" s="22"/>
      <c r="L161" s="22"/>
      <c r="M161" s="22">
        <f t="shared" si="59"/>
        <v>82.079819821598306</v>
      </c>
      <c r="N161" s="10">
        <f t="shared" si="58"/>
        <v>1.251216765573145</v>
      </c>
      <c r="O161" s="22"/>
      <c r="P161" s="22"/>
      <c r="Q161" s="89">
        <v>65.599999999999994</v>
      </c>
      <c r="R161" s="89"/>
      <c r="S161" s="10">
        <v>6.9278999999999999E-3</v>
      </c>
      <c r="T161" s="10">
        <v>0.73099999999999998</v>
      </c>
      <c r="U161" s="10">
        <v>0.69899999999999995</v>
      </c>
      <c r="V161" s="5"/>
    </row>
    <row r="162" spans="1:22" x14ac:dyDescent="0.25">
      <c r="A162" s="22" t="s">
        <v>4</v>
      </c>
      <c r="B162" s="10">
        <v>68.5</v>
      </c>
      <c r="C162" s="10">
        <v>6.0000000000000001E-3</v>
      </c>
      <c r="D162" s="58">
        <v>5.53</v>
      </c>
      <c r="E162" s="63">
        <f t="shared" si="60"/>
        <v>5.5234855090595225</v>
      </c>
      <c r="F162" s="63">
        <f t="shared" si="61"/>
        <v>43.797685800861252</v>
      </c>
      <c r="G162" s="74">
        <f>(5.01*(B162^0.59)*$Z$45)/(86.4*I$15)</f>
        <v>79.011593567003843</v>
      </c>
      <c r="H162" s="74">
        <f t="shared" si="56"/>
        <v>85.259208203408676</v>
      </c>
      <c r="I162" s="22">
        <f t="shared" si="57"/>
        <v>0.7754561240811858</v>
      </c>
      <c r="J162" s="32">
        <v>4.7</v>
      </c>
      <c r="K162" s="22" t="s">
        <v>77</v>
      </c>
      <c r="L162" s="22">
        <v>86400</v>
      </c>
      <c r="M162" s="22">
        <f t="shared" si="59"/>
        <v>28.979819821598319</v>
      </c>
      <c r="N162" s="10">
        <f t="shared" si="58"/>
        <v>0.44929953211780338</v>
      </c>
      <c r="O162" s="22"/>
      <c r="P162" s="22"/>
      <c r="Q162" s="89">
        <v>64.5</v>
      </c>
      <c r="R162" s="89"/>
      <c r="S162" s="10">
        <v>6.5133999999999999E-3</v>
      </c>
      <c r="T162" s="10">
        <v>0.73699999999999999</v>
      </c>
      <c r="U162" s="10">
        <v>0.68</v>
      </c>
      <c r="V162" s="5"/>
    </row>
    <row r="163" spans="1:22" x14ac:dyDescent="0.25">
      <c r="A163" s="22" t="s">
        <v>5</v>
      </c>
      <c r="B163" s="10">
        <v>6.6</v>
      </c>
      <c r="C163" s="10">
        <v>4.4000000000000003E-3</v>
      </c>
      <c r="D163" s="70">
        <v>2003</v>
      </c>
      <c r="E163" s="63">
        <f t="shared" si="60"/>
        <v>2.0008435573303629</v>
      </c>
      <c r="F163" s="63">
        <f t="shared" si="61"/>
        <v>35.918004686737952</v>
      </c>
      <c r="G163" s="74">
        <f>(5.01*(B163^0.59)*$Z$45)/(86.4*I$16)</f>
        <v>20.53074670457227</v>
      </c>
      <c r="H163" s="74">
        <f t="shared" si="56"/>
        <v>217.41146030362245</v>
      </c>
      <c r="I163" s="22">
        <f t="shared" si="57"/>
        <v>4.4008235267689875</v>
      </c>
      <c r="J163" s="32">
        <v>3.9</v>
      </c>
      <c r="K163" s="22" t="s">
        <v>78</v>
      </c>
      <c r="L163" s="22">
        <f>L162*15</f>
        <v>1296000</v>
      </c>
      <c r="M163" s="22">
        <f t="shared" si="59"/>
        <v>-32.920180178401679</v>
      </c>
      <c r="N163" s="10">
        <f t="shared" si="58"/>
        <v>-0.56370171538359037</v>
      </c>
      <c r="O163" s="22" t="s">
        <v>67</v>
      </c>
      <c r="P163" s="22">
        <v>0.65</v>
      </c>
      <c r="Q163" s="89">
        <v>58.4</v>
      </c>
      <c r="R163" s="89"/>
      <c r="S163" s="10">
        <v>6.0039999999999998E-3</v>
      </c>
      <c r="T163" s="10">
        <v>0.745</v>
      </c>
      <c r="U163" s="10">
        <v>0.68500000000000005</v>
      </c>
      <c r="V163" s="5"/>
    </row>
    <row r="164" spans="1:22" x14ac:dyDescent="0.25">
      <c r="A164" s="22" t="s">
        <v>6</v>
      </c>
      <c r="B164" s="10">
        <v>0</v>
      </c>
      <c r="C164" s="10">
        <v>7.7999999999999996E-3</v>
      </c>
      <c r="D164" s="58">
        <v>0.91600000000000004</v>
      </c>
      <c r="E164" s="63">
        <f t="shared" si="60"/>
        <v>0.91484380847025115</v>
      </c>
      <c r="F164" s="63">
        <f t="shared" si="61"/>
        <v>20.34353323213967</v>
      </c>
      <c r="G164" s="74">
        <f>(5.01*(B164^0.59)*$Z$45)/(86.4*I$17)</f>
        <v>0</v>
      </c>
      <c r="H164" s="74">
        <f t="shared" si="56"/>
        <v>60.328633909420994</v>
      </c>
      <c r="I164" s="22">
        <f t="shared" si="57"/>
        <v>5.4728901930089675</v>
      </c>
      <c r="J164" s="32">
        <v>2.4</v>
      </c>
      <c r="K164" s="22"/>
      <c r="L164" s="22"/>
      <c r="M164" s="22">
        <f t="shared" si="59"/>
        <v>-39.520180178401681</v>
      </c>
      <c r="N164" s="10">
        <f t="shared" si="58"/>
        <v>-0.69091224088114822</v>
      </c>
      <c r="O164" s="22" t="s">
        <v>68</v>
      </c>
      <c r="P164" s="22">
        <v>0.45</v>
      </c>
      <c r="Q164" s="89">
        <v>57.2</v>
      </c>
      <c r="R164" s="89"/>
      <c r="S164" s="10">
        <v>6.0679000000000002E-3</v>
      </c>
      <c r="T164" s="10">
        <v>0.79100000000000004</v>
      </c>
      <c r="U164" s="10">
        <v>0.75</v>
      </c>
      <c r="V164" s="5"/>
    </row>
    <row r="165" spans="1:22" x14ac:dyDescent="0.25">
      <c r="A165" s="22" t="s">
        <v>7</v>
      </c>
      <c r="B165" s="10">
        <v>7.5</v>
      </c>
      <c r="C165" s="10">
        <v>4.4999999999999997E-3</v>
      </c>
      <c r="D165" s="58">
        <v>0.80700000000000005</v>
      </c>
      <c r="E165" s="63">
        <f t="shared" si="60"/>
        <v>0.80584806532219855</v>
      </c>
      <c r="F165" s="63">
        <f t="shared" si="61"/>
        <v>22.111773146527856</v>
      </c>
      <c r="G165" s="74">
        <f>(5.01*(B165^0.59)*$Z$45)/(86.4*I$18)</f>
        <v>21.424935803089141</v>
      </c>
      <c r="H165" s="74">
        <f t="shared" si="56"/>
        <v>13.266785988507898</v>
      </c>
      <c r="I165" s="22">
        <f t="shared" si="57"/>
        <v>4.4161294291851627</v>
      </c>
      <c r="J165" s="32">
        <v>1.1000000000000001</v>
      </c>
      <c r="K165" s="22"/>
      <c r="L165" s="22"/>
      <c r="M165" s="22">
        <f t="shared" si="59"/>
        <v>-32.020180178401681</v>
      </c>
      <c r="N165" s="10">
        <f t="shared" si="58"/>
        <v>-0.565727564989429</v>
      </c>
      <c r="O165" s="22" t="s">
        <v>69</v>
      </c>
      <c r="P165" s="22">
        <f>-1+(EXP(1)*(0.5*P166))</f>
        <v>3.0774227426885679</v>
      </c>
      <c r="Q165" s="89">
        <v>56.6</v>
      </c>
      <c r="R165" s="89"/>
      <c r="S165" s="10">
        <v>8.0000000000000002E-3</v>
      </c>
      <c r="T165" s="10">
        <v>0.95</v>
      </c>
      <c r="U165" s="10">
        <v>0.85</v>
      </c>
      <c r="V165" s="5"/>
    </row>
    <row r="166" spans="1:22" x14ac:dyDescent="0.25">
      <c r="A166" s="22" t="s">
        <v>8</v>
      </c>
      <c r="B166" s="10">
        <v>25.7</v>
      </c>
      <c r="C166" s="10">
        <v>5.3E-3</v>
      </c>
      <c r="D166" s="70">
        <v>2091</v>
      </c>
      <c r="E166" s="63">
        <f t="shared" si="60"/>
        <v>2.0880138815299731</v>
      </c>
      <c r="F166" s="63">
        <f t="shared" si="61"/>
        <v>24.025946689358747</v>
      </c>
      <c r="G166" s="74">
        <f>(5.01*(B166^0.59)*$Z$45)/(86.4*I$19)</f>
        <v>45.786175201074002</v>
      </c>
      <c r="H166" s="74">
        <f t="shared" si="56"/>
        <v>7.7335701771791436</v>
      </c>
      <c r="I166" s="22">
        <f t="shared" si="57"/>
        <v>2.5742818857327929</v>
      </c>
      <c r="J166" s="32">
        <v>1.1000000000000001</v>
      </c>
      <c r="K166" s="22"/>
      <c r="L166" s="22"/>
      <c r="M166" s="22">
        <f t="shared" si="59"/>
        <v>-13.820180178401682</v>
      </c>
      <c r="N166" s="10">
        <f t="shared" si="58"/>
        <v>-0.25081996694013942</v>
      </c>
      <c r="O166" s="22" t="s">
        <v>74</v>
      </c>
      <c r="P166" s="22">
        <v>3</v>
      </c>
      <c r="Q166" s="89">
        <v>55.1</v>
      </c>
      <c r="R166" s="89"/>
      <c r="S166" s="10">
        <v>6.0384999999999996E-3</v>
      </c>
      <c r="T166" s="10">
        <v>0.85899999999999999</v>
      </c>
      <c r="U166" s="10">
        <v>0.83</v>
      </c>
      <c r="V166" s="5"/>
    </row>
    <row r="167" spans="1:22" ht="18.75" x14ac:dyDescent="0.3">
      <c r="A167" s="22" t="s">
        <v>9</v>
      </c>
      <c r="B167" s="10">
        <v>98.8</v>
      </c>
      <c r="C167" s="10">
        <v>6.4999999999999997E-3</v>
      </c>
      <c r="D167" s="70">
        <v>5649</v>
      </c>
      <c r="E167" s="63">
        <f t="shared" si="60"/>
        <v>5.6421894723854535</v>
      </c>
      <c r="F167" s="63">
        <f t="shared" si="61"/>
        <v>35.838612392958531</v>
      </c>
      <c r="G167" s="74">
        <f>(5.01*(B167^0.59)*$Z$45)/(86.4*I$20)</f>
        <v>98.070859430865852</v>
      </c>
      <c r="H167" s="74">
        <f t="shared" si="56"/>
        <v>3.2319795053734817</v>
      </c>
      <c r="I167" s="22">
        <f t="shared" si="57"/>
        <v>0.29319856580081266</v>
      </c>
      <c r="J167" s="32">
        <v>2.4</v>
      </c>
      <c r="K167" s="22"/>
      <c r="L167" s="22"/>
      <c r="M167" s="22">
        <f t="shared" si="59"/>
        <v>59.279819821598316</v>
      </c>
      <c r="N167" s="10">
        <f t="shared" si="58"/>
        <v>1.0168065149502286</v>
      </c>
      <c r="O167" s="45" t="s">
        <v>75</v>
      </c>
      <c r="P167" s="10"/>
      <c r="Q167" s="89">
        <v>58.3</v>
      </c>
      <c r="R167" s="89"/>
      <c r="S167" s="10">
        <v>5.5195000000000001E-3</v>
      </c>
      <c r="T167" s="10">
        <v>0.79600000000000004</v>
      </c>
      <c r="U167" s="10">
        <v>0.73399999999999999</v>
      </c>
      <c r="V167" s="5"/>
    </row>
    <row r="168" spans="1:22" x14ac:dyDescent="0.25">
      <c r="A168" s="22" t="s">
        <v>10</v>
      </c>
      <c r="B168" s="10">
        <v>87.8</v>
      </c>
      <c r="C168" s="10">
        <v>6.4000000000000003E-3</v>
      </c>
      <c r="D168" s="70">
        <v>6129</v>
      </c>
      <c r="E168" s="63">
        <f t="shared" si="60"/>
        <v>6.1217414722813048</v>
      </c>
      <c r="F168" s="63">
        <f t="shared" si="61"/>
        <v>44.770257612130997</v>
      </c>
      <c r="G168" s="74">
        <f>(5.01*(B168^0.59)*$Z$45)/(86.4*I$21)</f>
        <v>94.52258439046193</v>
      </c>
      <c r="H168" s="74">
        <f t="shared" si="56"/>
        <v>20.451013256728771</v>
      </c>
      <c r="I168" s="22">
        <f t="shared" si="57"/>
        <v>0.4139675993196793</v>
      </c>
      <c r="J168" s="32">
        <v>3.9</v>
      </c>
      <c r="K168" s="22"/>
      <c r="L168" s="22"/>
      <c r="M168" s="22">
        <f t="shared" si="59"/>
        <v>48.279819821598316</v>
      </c>
      <c r="N168" s="10">
        <f t="shared" si="58"/>
        <v>0.81553749698645805</v>
      </c>
      <c r="O168" s="10"/>
      <c r="P168" s="22"/>
      <c r="Q168" s="89">
        <v>59.2</v>
      </c>
      <c r="R168" s="89"/>
      <c r="S168" s="10">
        <v>6.5212999999999998E-3</v>
      </c>
      <c r="T168" s="10">
        <v>0.72499999999999998</v>
      </c>
      <c r="U168" s="10">
        <v>0.67</v>
      </c>
      <c r="V168" s="5"/>
    </row>
    <row r="169" spans="1:22" x14ac:dyDescent="0.25">
      <c r="A169" s="22" t="s">
        <v>11</v>
      </c>
      <c r="B169" s="10">
        <v>70.5</v>
      </c>
      <c r="C169" s="10">
        <v>6.1000000000000004E-3</v>
      </c>
      <c r="D169" s="70">
        <v>5265</v>
      </c>
      <c r="E169" s="63">
        <f t="shared" si="60"/>
        <v>5.2586325192730436</v>
      </c>
      <c r="F169" s="63">
        <f t="shared" si="61"/>
        <v>29.389279408319304</v>
      </c>
      <c r="G169" s="74">
        <f>(5.01*(B169^0.59)*$Z$45)/(86.4*I$22)</f>
        <v>80.364632473680203</v>
      </c>
      <c r="H169" s="74">
        <f t="shared" si="56"/>
        <v>35.858889611788186</v>
      </c>
      <c r="I169" s="22">
        <f t="shared" si="57"/>
        <v>0.72585246806669823</v>
      </c>
      <c r="J169" s="32">
        <v>3.9</v>
      </c>
      <c r="K169" s="22"/>
      <c r="L169" s="22"/>
      <c r="M169" s="22">
        <f t="shared" si="59"/>
        <v>30.979819821598319</v>
      </c>
      <c r="N169" s="10">
        <f t="shared" si="58"/>
        <v>0.4878711782928869</v>
      </c>
      <c r="O169" s="22"/>
      <c r="P169" s="22"/>
      <c r="Q169" s="89">
        <v>63.5</v>
      </c>
      <c r="R169" s="89"/>
      <c r="S169" s="10">
        <v>6.43E-3</v>
      </c>
      <c r="T169" s="10">
        <v>0.73299999999999998</v>
      </c>
      <c r="U169" s="10">
        <v>0.68</v>
      </c>
      <c r="V169" s="5"/>
    </row>
    <row r="170" spans="1:22" x14ac:dyDescent="0.25">
      <c r="A170" s="22" t="s">
        <v>12</v>
      </c>
      <c r="B170" s="32">
        <v>1987</v>
      </c>
      <c r="C170" s="32">
        <v>1987</v>
      </c>
      <c r="D170" s="71">
        <v>1987</v>
      </c>
      <c r="E170" s="32">
        <v>1987</v>
      </c>
      <c r="F170" s="32">
        <v>1987</v>
      </c>
      <c r="G170" s="71">
        <v>1987</v>
      </c>
      <c r="H170" s="71">
        <v>1987</v>
      </c>
      <c r="I170" s="32">
        <v>1987</v>
      </c>
      <c r="J170" s="47" t="s">
        <v>70</v>
      </c>
      <c r="K170" s="49" t="s">
        <v>61</v>
      </c>
      <c r="L170" s="49" t="s">
        <v>62</v>
      </c>
      <c r="M170" s="39" t="s">
        <v>60</v>
      </c>
      <c r="N170" s="39" t="s">
        <v>73</v>
      </c>
      <c r="O170" s="105" t="s">
        <v>57</v>
      </c>
      <c r="P170" s="105"/>
      <c r="Q170" s="10"/>
      <c r="R170" s="10"/>
      <c r="S170" s="10">
        <v>6.1102999999999999E-3</v>
      </c>
      <c r="T170" s="10">
        <v>0.71499999999999997</v>
      </c>
      <c r="U170" s="10">
        <v>0.66</v>
      </c>
      <c r="V170" s="5"/>
    </row>
    <row r="171" spans="1:22" x14ac:dyDescent="0.25">
      <c r="A171" s="22" t="s">
        <v>0</v>
      </c>
      <c r="B171" s="10">
        <v>80.400000000000006</v>
      </c>
      <c r="C171" s="10">
        <v>6.1999999999999998E-3</v>
      </c>
      <c r="D171" s="70">
        <v>5426</v>
      </c>
      <c r="E171" s="63">
        <f>C171*(($Z$45^F$24)*(((0.7*B171)+(0.29*B169)+(0.01*B168))^(F$15)))</f>
        <v>5.4196626697903723</v>
      </c>
      <c r="F171" s="63">
        <f>S172*(($Z$45^U$55)*(((0.7*B171)+(0.29*B169)+(0.01*B168))^(T$55)))</f>
        <v>34.855947606462372</v>
      </c>
      <c r="G171" s="74">
        <f>(5.01*(B171^0.59)*$Z$45)/(86.4*I$11)</f>
        <v>86.842926986593994</v>
      </c>
      <c r="H171" s="74">
        <f t="shared" ref="H171:H182" si="62">L$30^(J171-(0.6458446*LN(P$34))-(9.53942*N171*(P$34/P$33))+(4.8904*N171))</f>
        <v>57.11658788998151</v>
      </c>
      <c r="I171" s="22">
        <f t="shared" ref="I171:I182" si="63">L$30^(K$28-(0.6458446*LN(P$34))-(9.53942*N171*(P$34/P$33))+(4.8904*N171))</f>
        <v>0.5194911939627499</v>
      </c>
      <c r="J171" s="32">
        <v>4.7</v>
      </c>
      <c r="K171" s="22">
        <f>(10^-8)*((P178/P177)^-7.2474)</f>
        <v>8.8839224002565862E-15</v>
      </c>
      <c r="L171" s="22">
        <f>(-3.2951*(P177/P176))+5.33</f>
        <v>3.0487769230769231</v>
      </c>
      <c r="M171" s="22">
        <f>(B171-(0.74*P$172))</f>
        <v>44.671346192743449</v>
      </c>
      <c r="N171" s="10">
        <f t="shared" ref="N171:N182" si="64">M171/Q171</f>
        <v>0.6830481069226827</v>
      </c>
      <c r="O171" s="22" t="s">
        <v>58</v>
      </c>
      <c r="P171" s="22">
        <f>(B171+B172+B173+B174+B175+B176+B177+B178+B179+B180+B181+B182)/12</f>
        <v>63.308333333333316</v>
      </c>
      <c r="Q171" s="89">
        <v>65.400000000000006</v>
      </c>
      <c r="R171" s="89"/>
      <c r="S171" s="32">
        <v>1987</v>
      </c>
      <c r="T171" s="32">
        <v>1987</v>
      </c>
      <c r="U171" s="32">
        <v>1987</v>
      </c>
      <c r="V171" s="5"/>
    </row>
    <row r="172" spans="1:22" x14ac:dyDescent="0.25">
      <c r="A172" s="22" t="s">
        <v>1</v>
      </c>
      <c r="B172" s="10">
        <v>64.099999999999994</v>
      </c>
      <c r="C172" s="10">
        <v>6.0000000000000001E-3</v>
      </c>
      <c r="D172" s="70">
        <v>4894</v>
      </c>
      <c r="E172" s="63">
        <f>C172*(($Z$45^F$24)*(((0.7*B172)+(0.29*B171)+(0.01*B169))^(F$15)))</f>
        <v>4.8881890741057319</v>
      </c>
      <c r="F172" s="63">
        <f>S173*(($Z$45^U173)*(((0.7*B172)+(0.29*B171)+(0.01*B169))^(T173)))</f>
        <v>38.822720835077071</v>
      </c>
      <c r="G172" s="74">
        <f>(5.01*(B172^0.59)*$Z$45)/(86.4*I$12)</f>
        <v>84.116904793941544</v>
      </c>
      <c r="H172" s="74">
        <f t="shared" si="62"/>
        <v>81.330015697417849</v>
      </c>
      <c r="I172" s="22">
        <f t="shared" si="63"/>
        <v>0.73971902945329204</v>
      </c>
      <c r="J172" s="32">
        <v>4.7</v>
      </c>
      <c r="K172" s="22"/>
      <c r="L172" s="22"/>
      <c r="M172" s="22">
        <f t="shared" ref="M172:M182" si="65">(B172-(0.74*P$172))</f>
        <v>28.371346192743438</v>
      </c>
      <c r="N172" s="10">
        <f t="shared" si="64"/>
        <v>0.47682934777720065</v>
      </c>
      <c r="O172" s="22" t="s">
        <v>66</v>
      </c>
      <c r="P172" s="22">
        <f>((((B171-P171)^2+(B172-P171)^2+(B173-P171)^2+(B174-P171)^2+(B175-P171)^2+(B176-P171)^2+(B177-P171)^2+(B178-P171)^2+(B179-P171)^2+(B180-P171)^2+(B181-P171)^2+(B182-P171)^2))/(12-1))^0.5</f>
        <v>48.281964604400748</v>
      </c>
      <c r="Q172" s="89">
        <v>59.5</v>
      </c>
      <c r="R172" s="89"/>
      <c r="S172" s="10">
        <v>6.2643000000000004E-3</v>
      </c>
      <c r="T172" s="10">
        <v>0.72499999999999998</v>
      </c>
      <c r="U172" s="10">
        <v>0.66600000000000004</v>
      </c>
      <c r="V172" s="5"/>
    </row>
    <row r="173" spans="1:22" x14ac:dyDescent="0.25">
      <c r="A173" s="22" t="s">
        <v>2</v>
      </c>
      <c r="B173" s="10">
        <v>132.5</v>
      </c>
      <c r="C173" s="10">
        <v>6.7999999999999996E-3</v>
      </c>
      <c r="D173" s="70">
        <v>7399</v>
      </c>
      <c r="E173" s="63">
        <f t="shared" ref="E173:E182" si="66">C173*(($Z$45^F$24)*(((0.7*B173)+(0.29*B172)+(0.01*B171))^(F$15)))</f>
        <v>7.3900502505829211</v>
      </c>
      <c r="F173" s="63">
        <f t="shared" ref="F173:F182" si="67">S174*(($Z$45^U174)*(((0.7*B173)+(0.29*B172)+(0.01*B171))^(T174)))</f>
        <v>43.678867117796962</v>
      </c>
      <c r="G173" s="74">
        <f>(5.01*(B173^0.59)*$Z$45)/(86.4*I$13)</f>
        <v>116.61133090941172</v>
      </c>
      <c r="H173" s="74">
        <f t="shared" si="62"/>
        <v>7.8672352102480891</v>
      </c>
      <c r="I173" s="22">
        <f t="shared" si="63"/>
        <v>7.1554684261425208E-2</v>
      </c>
      <c r="J173" s="32">
        <v>4.7</v>
      </c>
      <c r="K173" s="22" t="s">
        <v>72</v>
      </c>
      <c r="L173" s="10">
        <f>EXP(1)</f>
        <v>2.7182818284590451</v>
      </c>
      <c r="M173" s="22">
        <f t="shared" si="65"/>
        <v>96.771346192743437</v>
      </c>
      <c r="N173" s="10">
        <f t="shared" si="64"/>
        <v>1.8397594333221186</v>
      </c>
      <c r="O173" s="22"/>
      <c r="P173" s="22"/>
      <c r="Q173" s="89">
        <v>52.6</v>
      </c>
      <c r="R173" s="89"/>
      <c r="S173" s="10">
        <v>6.476E-3</v>
      </c>
      <c r="T173" s="10">
        <v>0.73499999999999999</v>
      </c>
      <c r="U173" s="10">
        <v>0.68500000000000005</v>
      </c>
      <c r="V173" s="5"/>
    </row>
    <row r="174" spans="1:22" x14ac:dyDescent="0.25">
      <c r="A174" s="22" t="s">
        <v>3</v>
      </c>
      <c r="B174" s="10">
        <v>121.4</v>
      </c>
      <c r="C174" s="10">
        <v>6.4999999999999997E-3</v>
      </c>
      <c r="D174" s="70">
        <v>7507</v>
      </c>
      <c r="E174" s="63">
        <f t="shared" si="66"/>
        <v>7.4982608540803515</v>
      </c>
      <c r="F174" s="63">
        <f t="shared" si="67"/>
        <v>50.672543143311472</v>
      </c>
      <c r="G174" s="74">
        <f>(5.01*(B174^0.59)*$Z$45)/(86.4*I$14)</f>
        <v>114.43604720014697</v>
      </c>
      <c r="H174" s="74">
        <f t="shared" si="62"/>
        <v>19.639245423065422</v>
      </c>
      <c r="I174" s="22">
        <f t="shared" si="63"/>
        <v>0.17862437919099269</v>
      </c>
      <c r="J174" s="32">
        <v>4.7</v>
      </c>
      <c r="K174" s="22"/>
      <c r="L174" s="22"/>
      <c r="M174" s="22">
        <f t="shared" si="65"/>
        <v>85.671346192743442</v>
      </c>
      <c r="N174" s="10">
        <f t="shared" si="64"/>
        <v>1.3059656431820648</v>
      </c>
      <c r="O174" s="22"/>
      <c r="P174" s="22"/>
      <c r="Q174" s="89">
        <v>65.599999999999994</v>
      </c>
      <c r="R174" s="89"/>
      <c r="S174" s="10">
        <v>6.8307999999999997E-3</v>
      </c>
      <c r="T174" s="10">
        <v>0.71599999999999997</v>
      </c>
      <c r="U174" s="10">
        <v>0.66</v>
      </c>
      <c r="V174" s="5"/>
    </row>
    <row r="175" spans="1:22" x14ac:dyDescent="0.25">
      <c r="A175" s="22" t="s">
        <v>4</v>
      </c>
      <c r="B175" s="10">
        <v>133.9</v>
      </c>
      <c r="C175" s="10">
        <v>6.6E-3</v>
      </c>
      <c r="D175" s="70">
        <v>7846</v>
      </c>
      <c r="E175" s="63">
        <f t="shared" si="66"/>
        <v>7.8369503073528959</v>
      </c>
      <c r="F175" s="63">
        <f t="shared" si="67"/>
        <v>65.372071856909116</v>
      </c>
      <c r="G175" s="74">
        <f>(5.01*(B175^0.59)*$Z$45)/(86.4*I$15)</f>
        <v>117.33671471347472</v>
      </c>
      <c r="H175" s="74">
        <f t="shared" si="62"/>
        <v>13.561364030820092</v>
      </c>
      <c r="I175" s="22">
        <f t="shared" si="63"/>
        <v>0.12334436373728024</v>
      </c>
      <c r="J175" s="32">
        <v>4.7</v>
      </c>
      <c r="K175" s="22" t="s">
        <v>77</v>
      </c>
      <c r="L175" s="22">
        <v>86400</v>
      </c>
      <c r="M175" s="22">
        <f t="shared" si="65"/>
        <v>98.171346192743442</v>
      </c>
      <c r="N175" s="10">
        <f t="shared" si="64"/>
        <v>1.5220363750812937</v>
      </c>
      <c r="O175" s="22"/>
      <c r="P175" s="22"/>
      <c r="Q175" s="89">
        <v>64.5</v>
      </c>
      <c r="R175" s="89"/>
      <c r="S175" s="10">
        <v>6.6011000000000004E-3</v>
      </c>
      <c r="T175" s="10">
        <v>0.72199999999999998</v>
      </c>
      <c r="U175" s="10">
        <v>0.67</v>
      </c>
      <c r="V175" s="5"/>
    </row>
    <row r="176" spans="1:22" x14ac:dyDescent="0.25">
      <c r="A176" s="22" t="s">
        <v>5</v>
      </c>
      <c r="B176" s="10">
        <v>33.4</v>
      </c>
      <c r="C176" s="10">
        <v>5.4999999999999997E-3</v>
      </c>
      <c r="D176" s="70">
        <v>4272</v>
      </c>
      <c r="E176" s="63">
        <f t="shared" si="66"/>
        <v>4.2670497133741625</v>
      </c>
      <c r="F176" s="63">
        <f t="shared" si="67"/>
        <v>28.285556564838842</v>
      </c>
      <c r="G176" s="74">
        <f>(5.01*(B176^0.59)*$Z$45)/(86.4*I$16)</f>
        <v>53.442188978682871</v>
      </c>
      <c r="H176" s="74">
        <f t="shared" si="62"/>
        <v>88.592646291391176</v>
      </c>
      <c r="I176" s="22">
        <f t="shared" si="63"/>
        <v>1.7932845009798279</v>
      </c>
      <c r="J176" s="32">
        <v>3.9</v>
      </c>
      <c r="K176" s="22" t="s">
        <v>78</v>
      </c>
      <c r="L176" s="22">
        <f>L175*15</f>
        <v>1296000</v>
      </c>
      <c r="M176" s="22">
        <f t="shared" si="65"/>
        <v>-2.3286538072565577</v>
      </c>
      <c r="N176" s="10">
        <f t="shared" si="64"/>
        <v>-3.9874209028365713E-2</v>
      </c>
      <c r="O176" s="22" t="s">
        <v>67</v>
      </c>
      <c r="P176" s="22">
        <v>0.65</v>
      </c>
      <c r="Q176" s="89">
        <v>58.4</v>
      </c>
      <c r="R176" s="89"/>
      <c r="S176" s="10">
        <v>6.8402000000000003E-3</v>
      </c>
      <c r="T176" s="10">
        <v>0.74299999999999999</v>
      </c>
      <c r="U176" s="10">
        <v>0.68</v>
      </c>
      <c r="V176" s="5"/>
    </row>
    <row r="177" spans="1:22" x14ac:dyDescent="0.25">
      <c r="A177" s="22" t="s">
        <v>6</v>
      </c>
      <c r="B177" s="10">
        <v>15.8</v>
      </c>
      <c r="C177" s="10">
        <v>4.8999999999999998E-3</v>
      </c>
      <c r="D177" s="58">
        <v>2.04</v>
      </c>
      <c r="E177" s="63">
        <f t="shared" si="66"/>
        <v>2.0371012510313427</v>
      </c>
      <c r="F177" s="63">
        <f t="shared" si="67"/>
        <v>35.251632636567727</v>
      </c>
      <c r="G177" s="74">
        <f>(5.01*(B177^0.59)*$Z$45)/(86.4*I$17)</f>
        <v>33.253783517344942</v>
      </c>
      <c r="H177" s="74">
        <f t="shared" si="62"/>
        <v>33.542384069037794</v>
      </c>
      <c r="I177" s="22">
        <f t="shared" si="63"/>
        <v>3.0428964311905338</v>
      </c>
      <c r="J177" s="32">
        <v>2.4</v>
      </c>
      <c r="K177" s="22"/>
      <c r="L177" s="22"/>
      <c r="M177" s="22">
        <f t="shared" si="65"/>
        <v>-19.928653807256556</v>
      </c>
      <c r="N177" s="10">
        <f t="shared" si="64"/>
        <v>-0.34840303858840133</v>
      </c>
      <c r="O177" s="22" t="s">
        <v>68</v>
      </c>
      <c r="P177" s="22">
        <v>0.45</v>
      </c>
      <c r="Q177" s="89">
        <v>57.2</v>
      </c>
      <c r="R177" s="89"/>
      <c r="S177" s="10">
        <v>5.9150000000000001E-3</v>
      </c>
      <c r="T177" s="10">
        <v>0.70499999999999996</v>
      </c>
      <c r="U177" s="10">
        <v>0.68</v>
      </c>
      <c r="V177" s="5"/>
    </row>
    <row r="178" spans="1:22" x14ac:dyDescent="0.25">
      <c r="A178" s="22" t="s">
        <v>7</v>
      </c>
      <c r="B178" s="10">
        <v>8.5</v>
      </c>
      <c r="C178" s="10">
        <v>4.4999999999999997E-3</v>
      </c>
      <c r="D178" s="70">
        <v>1231</v>
      </c>
      <c r="E178" s="63">
        <f t="shared" si="66"/>
        <v>1.2298938399140289</v>
      </c>
      <c r="F178" s="63">
        <f t="shared" si="67"/>
        <v>29.228765476144734</v>
      </c>
      <c r="G178" s="74">
        <f>(5.01*(B178^0.59)*$Z$45)/(86.4*I$18)</f>
        <v>23.066969960991869</v>
      </c>
      <c r="H178" s="74">
        <f t="shared" si="62"/>
        <v>11.475095639378631</v>
      </c>
      <c r="I178" s="22">
        <f t="shared" si="63"/>
        <v>3.8197275210191037</v>
      </c>
      <c r="J178" s="32">
        <v>1.1000000000000001</v>
      </c>
      <c r="K178" s="22"/>
      <c r="L178" s="22"/>
      <c r="M178" s="22">
        <f t="shared" si="65"/>
        <v>-27.228653807256556</v>
      </c>
      <c r="N178" s="10">
        <f t="shared" si="64"/>
        <v>-0.48107162203633491</v>
      </c>
      <c r="O178" s="22" t="s">
        <v>69</v>
      </c>
      <c r="P178" s="22">
        <f>-1+(EXP(1)*(0.5*P179))</f>
        <v>3.0774227426885679</v>
      </c>
      <c r="Q178" s="89">
        <v>56.6</v>
      </c>
      <c r="R178" s="89"/>
      <c r="S178" s="10">
        <v>5.8104000000000003E-3</v>
      </c>
      <c r="T178" s="10">
        <v>0.78500000000000003</v>
      </c>
      <c r="U178" s="10">
        <v>0.77</v>
      </c>
      <c r="V178" s="5"/>
    </row>
    <row r="179" spans="1:22" x14ac:dyDescent="0.25">
      <c r="A179" s="22" t="s">
        <v>8</v>
      </c>
      <c r="B179" s="10">
        <v>71.8</v>
      </c>
      <c r="C179" s="10">
        <v>6.1999999999999998E-3</v>
      </c>
      <c r="D179" s="70">
        <v>4325</v>
      </c>
      <c r="E179" s="63">
        <f t="shared" si="66"/>
        <v>4.3198689134288841</v>
      </c>
      <c r="F179" s="63">
        <f t="shared" si="67"/>
        <v>23.557949499612505</v>
      </c>
      <c r="G179" s="74">
        <f>(5.01*(B179^0.59)*$Z$45)/(86.4*I$19)</f>
        <v>83.943533259523022</v>
      </c>
      <c r="H179" s="74">
        <f t="shared" si="62"/>
        <v>1.6384645752586895</v>
      </c>
      <c r="I179" s="22">
        <f t="shared" si="63"/>
        <v>0.54539747876727829</v>
      </c>
      <c r="J179" s="32">
        <v>1.1000000000000001</v>
      </c>
      <c r="K179" s="22"/>
      <c r="L179" s="22"/>
      <c r="M179" s="22">
        <f t="shared" si="65"/>
        <v>36.071346192743441</v>
      </c>
      <c r="N179" s="10">
        <f t="shared" si="64"/>
        <v>0.65465238099352885</v>
      </c>
      <c r="O179" s="22" t="s">
        <v>74</v>
      </c>
      <c r="P179" s="22">
        <v>3</v>
      </c>
      <c r="Q179" s="89">
        <v>55.1</v>
      </c>
      <c r="R179" s="89"/>
      <c r="S179" s="10">
        <v>6.8087E-3</v>
      </c>
      <c r="T179" s="10">
        <v>0.80500000000000005</v>
      </c>
      <c r="U179" s="10">
        <v>0.79</v>
      </c>
      <c r="V179" s="5"/>
    </row>
    <row r="180" spans="1:22" ht="18.75" x14ac:dyDescent="0.3">
      <c r="A180" s="22" t="s">
        <v>9</v>
      </c>
      <c r="B180" s="10">
        <v>78.2</v>
      </c>
      <c r="C180" s="10">
        <v>6.3E-3</v>
      </c>
      <c r="D180" s="70">
        <v>5431</v>
      </c>
      <c r="E180" s="63">
        <f t="shared" si="66"/>
        <v>5.4245610783024514</v>
      </c>
      <c r="F180" s="63">
        <f t="shared" si="67"/>
        <v>34.963954831577823</v>
      </c>
      <c r="G180" s="74">
        <f>(5.01*(B180^0.59)*$Z$45)/(86.4*I$20)</f>
        <v>85.432943190734647</v>
      </c>
      <c r="H180" s="74">
        <f t="shared" si="62"/>
        <v>5.2973383057625201</v>
      </c>
      <c r="I180" s="22">
        <f t="shared" si="63"/>
        <v>0.48056368898038415</v>
      </c>
      <c r="J180" s="32">
        <v>2.4</v>
      </c>
      <c r="K180" s="22"/>
      <c r="L180" s="22"/>
      <c r="M180" s="22">
        <f t="shared" si="65"/>
        <v>42.471346192743447</v>
      </c>
      <c r="N180" s="10">
        <f t="shared" si="64"/>
        <v>0.72849650416369549</v>
      </c>
      <c r="O180" s="45" t="s">
        <v>75</v>
      </c>
      <c r="P180" s="10"/>
      <c r="Q180" s="89">
        <v>58.3</v>
      </c>
      <c r="R180" s="89"/>
      <c r="S180" s="10">
        <v>6.2044999999999999E-3</v>
      </c>
      <c r="T180" s="10">
        <v>0.71</v>
      </c>
      <c r="U180" s="10">
        <v>0.66500000000000004</v>
      </c>
      <c r="V180" s="5"/>
    </row>
    <row r="181" spans="1:22" x14ac:dyDescent="0.25">
      <c r="A181" s="22" t="s">
        <v>10</v>
      </c>
      <c r="B181" s="10">
        <v>5.4</v>
      </c>
      <c r="C181" s="10">
        <v>4.3E-3</v>
      </c>
      <c r="D181" s="70">
        <v>2023</v>
      </c>
      <c r="E181" s="63">
        <f t="shared" si="66"/>
        <v>2.0209767138942869</v>
      </c>
      <c r="F181" s="63">
        <f t="shared" si="67"/>
        <v>25.959092726988615</v>
      </c>
      <c r="G181" s="74">
        <f>(5.01*(B181^0.59)*$Z$45)/(86.4*I$21)</f>
        <v>18.238375012191423</v>
      </c>
      <c r="H181" s="74">
        <f t="shared" si="62"/>
        <v>199.0812459574004</v>
      </c>
      <c r="I181" s="22">
        <f t="shared" si="63"/>
        <v>4.0297849511901376</v>
      </c>
      <c r="J181" s="32">
        <v>3.9</v>
      </c>
      <c r="K181" s="22"/>
      <c r="L181" s="22"/>
      <c r="M181" s="22">
        <f t="shared" si="65"/>
        <v>-30.328653807256558</v>
      </c>
      <c r="N181" s="10">
        <f t="shared" si="64"/>
        <v>-0.51230834133879322</v>
      </c>
      <c r="O181" s="10"/>
      <c r="P181" s="22"/>
      <c r="Q181" s="89">
        <v>59.2</v>
      </c>
      <c r="R181" s="89"/>
      <c r="S181" s="10">
        <v>6.4254999999999998E-3</v>
      </c>
      <c r="T181" s="10">
        <v>0.72499999999999998</v>
      </c>
      <c r="U181" s="10">
        <v>0.67</v>
      </c>
      <c r="V181" s="5"/>
    </row>
    <row r="182" spans="1:22" x14ac:dyDescent="0.25">
      <c r="A182" s="22" t="s">
        <v>11</v>
      </c>
      <c r="B182" s="10">
        <v>14.3</v>
      </c>
      <c r="C182" s="10">
        <v>4.7000000000000002E-3</v>
      </c>
      <c r="D182" s="70">
        <v>1388</v>
      </c>
      <c r="E182" s="63">
        <f t="shared" si="66"/>
        <v>1.3861122189966246</v>
      </c>
      <c r="F182" s="63">
        <f t="shared" si="67"/>
        <v>23.093111571087714</v>
      </c>
      <c r="G182" s="74">
        <f>(5.01*(B182^0.59)*$Z$45)/(86.4*I$22)</f>
        <v>31.353183625984148</v>
      </c>
      <c r="H182" s="74">
        <f t="shared" si="62"/>
        <v>147.53331100240149</v>
      </c>
      <c r="I182" s="22">
        <f t="shared" si="63"/>
        <v>2.9863562166169575</v>
      </c>
      <c r="J182" s="32">
        <v>3.9</v>
      </c>
      <c r="K182" s="22"/>
      <c r="L182" s="22"/>
      <c r="M182" s="22">
        <f t="shared" si="65"/>
        <v>-21.428653807256556</v>
      </c>
      <c r="N182" s="10">
        <f t="shared" si="64"/>
        <v>-0.33745911507490639</v>
      </c>
      <c r="O182" s="22"/>
      <c r="P182" s="22"/>
      <c r="Q182" s="89">
        <v>63.5</v>
      </c>
      <c r="R182" s="89"/>
      <c r="S182" s="10">
        <v>5.2944000000000003E-3</v>
      </c>
      <c r="T182" s="10">
        <v>0.77</v>
      </c>
      <c r="U182" s="10">
        <v>0.73</v>
      </c>
      <c r="V182" s="5"/>
    </row>
    <row r="183" spans="1:22" x14ac:dyDescent="0.25">
      <c r="A183" s="22" t="s">
        <v>12</v>
      </c>
      <c r="B183" s="22">
        <v>1988</v>
      </c>
      <c r="C183" s="22">
        <v>1988</v>
      </c>
      <c r="D183" s="56">
        <v>1988</v>
      </c>
      <c r="E183" s="22">
        <v>1988</v>
      </c>
      <c r="F183" s="22">
        <v>1988</v>
      </c>
      <c r="G183" s="56">
        <v>1988</v>
      </c>
      <c r="H183" s="56">
        <v>1988</v>
      </c>
      <c r="I183" s="22">
        <v>1988</v>
      </c>
      <c r="J183" s="47" t="s">
        <v>70</v>
      </c>
      <c r="K183" s="49" t="s">
        <v>61</v>
      </c>
      <c r="L183" s="49" t="s">
        <v>62</v>
      </c>
      <c r="M183" s="39" t="s">
        <v>60</v>
      </c>
      <c r="N183" s="39" t="s">
        <v>73</v>
      </c>
      <c r="O183" s="105" t="s">
        <v>57</v>
      </c>
      <c r="P183" s="105"/>
      <c r="Q183" s="10"/>
      <c r="R183" s="10"/>
      <c r="S183" s="10">
        <v>5.855E-3</v>
      </c>
      <c r="T183" s="10">
        <v>0.79500000000000004</v>
      </c>
      <c r="U183" s="10">
        <v>0.77</v>
      </c>
      <c r="V183" s="5"/>
    </row>
    <row r="184" spans="1:22" x14ac:dyDescent="0.25">
      <c r="A184" s="22" t="s">
        <v>0</v>
      </c>
      <c r="B184" s="10">
        <v>72.599999999999994</v>
      </c>
      <c r="C184" s="10"/>
      <c r="D184" s="70">
        <v>4356</v>
      </c>
      <c r="E184" s="10"/>
      <c r="F184" s="10"/>
      <c r="G184" s="74">
        <f>(5.01*(B184^0.59)*$Z$45)/(86.4*I$11)</f>
        <v>81.768492314962472</v>
      </c>
      <c r="H184" s="74">
        <f t="shared" ref="H184:H195" si="68">L$30^(J184-(0.6458446*LN(P$34))-(9.53942*N184*(P$34/P$33))+(4.8904*N184))</f>
        <v>92.798549118472778</v>
      </c>
      <c r="I184" s="22">
        <f t="shared" ref="I184:I195" si="69">L$30^(K$28-(0.6458446*LN(P$34))-(9.53942*N184*(P$34/P$33))+(4.8904*N184))</f>
        <v>0.84402851886784769</v>
      </c>
      <c r="J184" s="32">
        <v>4.7</v>
      </c>
      <c r="K184" s="22">
        <f>(10^-8)*((P191/P190)^-7.2474)</f>
        <v>8.8839224002565862E-15</v>
      </c>
      <c r="L184" s="22">
        <f>(-3.2951*(P190/P189))+5.33</f>
        <v>3.0487769230769231</v>
      </c>
      <c r="M184" s="22">
        <f>(B184-(0.74*P$185))</f>
        <v>26.150663652195036</v>
      </c>
      <c r="N184" s="10">
        <f t="shared" ref="N184:N195" si="70">M184/Q184</f>
        <v>0.39985724238830328</v>
      </c>
      <c r="O184" s="22" t="s">
        <v>58</v>
      </c>
      <c r="P184" s="22">
        <f>(B184+B185+B186+B187+B188+B189+B190+B191+B192+B193+B194+B195)/12</f>
        <v>88.616666666666674</v>
      </c>
      <c r="Q184" s="89">
        <v>65.400000000000006</v>
      </c>
      <c r="R184" s="89"/>
      <c r="S184" s="10"/>
      <c r="T184" s="10"/>
      <c r="U184" s="10"/>
    </row>
    <row r="185" spans="1:22" x14ac:dyDescent="0.25">
      <c r="A185" s="22" t="s">
        <v>1</v>
      </c>
      <c r="B185" s="10">
        <v>80</v>
      </c>
      <c r="C185" s="10"/>
      <c r="D185" s="70">
        <v>5497</v>
      </c>
      <c r="E185" s="10"/>
      <c r="F185" s="10"/>
      <c r="G185" s="74">
        <f>(5.01*(B185^0.59)*$Z$45)/(86.4*J$12)</f>
        <v>92.559323580936066</v>
      </c>
      <c r="H185" s="74">
        <f t="shared" si="68"/>
        <v>70.058610713086523</v>
      </c>
      <c r="I185" s="22">
        <f t="shared" si="69"/>
        <v>0.63720247779536232</v>
      </c>
      <c r="J185" s="32">
        <v>4.7</v>
      </c>
      <c r="K185" s="22"/>
      <c r="L185" s="22"/>
      <c r="M185" s="22">
        <f t="shared" ref="M185:M195" si="71">(B185-(0.74*P$185))</f>
        <v>33.550663652195041</v>
      </c>
      <c r="N185" s="10">
        <f t="shared" si="70"/>
        <v>0.5638767000368915</v>
      </c>
      <c r="O185" s="22" t="s">
        <v>66</v>
      </c>
      <c r="P185" s="22">
        <f>((((B184-P184)^2+(B185-P184)^2+(B186-P184)^2+(B187-P184)^2+(B188-P184)^2+(B189-P184)^2+(B190-P184)^2+(B191-P184)^2+(B192-P184)^2+(B193-P184)^2+(B194-P184)^2+(B195-P184)^2))/(12-1))^0.5</f>
        <v>62.769373442979678</v>
      </c>
      <c r="Q185" s="89">
        <v>59.5</v>
      </c>
      <c r="R185" s="89"/>
      <c r="S185" s="10"/>
      <c r="T185" s="10"/>
      <c r="U185" s="10"/>
    </row>
    <row r="186" spans="1:22" x14ac:dyDescent="0.25">
      <c r="A186" s="22" t="s">
        <v>2</v>
      </c>
      <c r="B186" s="10">
        <v>21.8</v>
      </c>
      <c r="C186" s="10"/>
      <c r="D186" s="70">
        <v>3038</v>
      </c>
      <c r="E186" s="10"/>
      <c r="F186" s="10"/>
      <c r="G186" s="74">
        <f>(5.01*(B186^0.59)*$Z$45)/(86.4*I$13)</f>
        <v>40.208948412641696</v>
      </c>
      <c r="H186" s="74">
        <f t="shared" si="68"/>
        <v>411.10015187710979</v>
      </c>
      <c r="I186" s="22">
        <f t="shared" si="69"/>
        <v>3.739069797871577</v>
      </c>
      <c r="J186" s="32">
        <v>4.7</v>
      </c>
      <c r="K186" s="22" t="s">
        <v>72</v>
      </c>
      <c r="L186" s="10">
        <f>EXP(1)</f>
        <v>2.7182818284590451</v>
      </c>
      <c r="M186" s="22">
        <f t="shared" si="71"/>
        <v>-24.649336347804958</v>
      </c>
      <c r="N186" s="10">
        <f t="shared" si="70"/>
        <v>-0.46861856174534139</v>
      </c>
      <c r="O186" s="22"/>
      <c r="P186" s="22"/>
      <c r="Q186" s="89">
        <v>52.6</v>
      </c>
      <c r="R186" s="89"/>
      <c r="S186" s="10"/>
      <c r="T186" s="10"/>
      <c r="U186" s="10"/>
    </row>
    <row r="187" spans="1:22" x14ac:dyDescent="0.25">
      <c r="A187" s="22" t="s">
        <v>3</v>
      </c>
      <c r="B187" s="10">
        <v>240.4</v>
      </c>
      <c r="C187" s="10"/>
      <c r="D187" s="70">
        <v>10065</v>
      </c>
      <c r="E187" s="10"/>
      <c r="F187" s="10"/>
      <c r="G187" s="74">
        <f>(5.01*(B187^0.59)*$Z$45)/(86.4*I$14)</f>
        <v>171.24786131575007</v>
      </c>
      <c r="H187" s="74">
        <f t="shared" si="68"/>
        <v>1.1603362788805169</v>
      </c>
      <c r="I187" s="22">
        <f t="shared" si="69"/>
        <v>1.055357998756898E-2</v>
      </c>
      <c r="J187" s="32">
        <v>4.7</v>
      </c>
      <c r="K187" s="22"/>
      <c r="L187" s="22"/>
      <c r="M187" s="22">
        <f t="shared" si="71"/>
        <v>193.95066365219503</v>
      </c>
      <c r="N187" s="10">
        <f t="shared" si="70"/>
        <v>2.9565649946980952</v>
      </c>
      <c r="O187" s="22"/>
      <c r="P187" s="22"/>
      <c r="Q187" s="89">
        <v>65.599999999999994</v>
      </c>
      <c r="R187" s="89"/>
      <c r="S187" s="10"/>
      <c r="T187" s="10"/>
      <c r="U187" s="10"/>
    </row>
    <row r="188" spans="1:22" x14ac:dyDescent="0.25">
      <c r="A188" s="22" t="s">
        <v>4</v>
      </c>
      <c r="B188" s="10">
        <v>74.400000000000006</v>
      </c>
      <c r="C188" s="10"/>
      <c r="D188" s="70">
        <v>6977</v>
      </c>
      <c r="E188" s="10"/>
      <c r="F188" s="10"/>
      <c r="G188" s="74">
        <f>(5.01*(B188^0.59)*$Z$45)/(86.4*I$15)</f>
        <v>82.958600291437378</v>
      </c>
      <c r="H188" s="74">
        <f t="shared" si="68"/>
        <v>87.622830247663785</v>
      </c>
      <c r="I188" s="22">
        <f t="shared" si="69"/>
        <v>0.79695392153736289</v>
      </c>
      <c r="J188" s="32">
        <v>4.7</v>
      </c>
      <c r="K188" s="22" t="s">
        <v>77</v>
      </c>
      <c r="L188" s="22">
        <v>86400</v>
      </c>
      <c r="M188" s="22">
        <f t="shared" si="71"/>
        <v>27.950663652195047</v>
      </c>
      <c r="N188" s="10">
        <f t="shared" si="70"/>
        <v>0.43334362251465192</v>
      </c>
      <c r="O188" s="22"/>
      <c r="P188" s="22"/>
      <c r="Q188" s="89">
        <v>64.5</v>
      </c>
      <c r="R188" s="89"/>
      <c r="S188" s="10"/>
      <c r="T188" s="10"/>
      <c r="U188" s="10"/>
    </row>
    <row r="189" spans="1:22" x14ac:dyDescent="0.25">
      <c r="A189" s="22" t="s">
        <v>5</v>
      </c>
      <c r="B189" s="10">
        <v>70.400000000000006</v>
      </c>
      <c r="C189" s="10"/>
      <c r="D189" s="70">
        <v>5244</v>
      </c>
      <c r="E189" s="10"/>
      <c r="F189" s="10"/>
      <c r="G189" s="74">
        <f>(5.01*(B189^0.59)*$Z$45)/(86.4*I$16)</f>
        <v>82.973935975905519</v>
      </c>
      <c r="H189" s="74">
        <f t="shared" si="68"/>
        <v>40.97051470081643</v>
      </c>
      <c r="I189" s="22">
        <f t="shared" si="69"/>
        <v>0.82932153046296087</v>
      </c>
      <c r="J189" s="32">
        <v>3.9</v>
      </c>
      <c r="K189" s="22" t="s">
        <v>78</v>
      </c>
      <c r="L189" s="22">
        <f>L188*15</f>
        <v>1296000</v>
      </c>
      <c r="M189" s="22">
        <f t="shared" si="71"/>
        <v>23.950663652195047</v>
      </c>
      <c r="N189" s="10">
        <f t="shared" si="70"/>
        <v>0.41011410363347683</v>
      </c>
      <c r="O189" s="22" t="s">
        <v>67</v>
      </c>
      <c r="P189" s="22">
        <v>0.65</v>
      </c>
      <c r="Q189" s="89">
        <v>58.4</v>
      </c>
      <c r="R189" s="89"/>
      <c r="S189" s="10"/>
      <c r="T189" s="10"/>
      <c r="U189" s="10"/>
    </row>
    <row r="190" spans="1:22" x14ac:dyDescent="0.25">
      <c r="A190" s="22" t="s">
        <v>6</v>
      </c>
      <c r="B190" s="10">
        <v>31</v>
      </c>
      <c r="C190" s="10"/>
      <c r="D190" s="70">
        <v>3388</v>
      </c>
      <c r="E190" s="10"/>
      <c r="F190" s="10"/>
      <c r="G190" s="74">
        <f>(5.01*(B190^0.59)*$Z$45)/(86.4*I$17)</f>
        <v>49.492202734430137</v>
      </c>
      <c r="H190" s="74">
        <f t="shared" si="68"/>
        <v>29.329725050565429</v>
      </c>
      <c r="I190" s="22">
        <f t="shared" si="69"/>
        <v>2.660732627128529</v>
      </c>
      <c r="J190" s="32">
        <v>2.4</v>
      </c>
      <c r="K190" s="22"/>
      <c r="L190" s="22"/>
      <c r="M190" s="22">
        <f>(B190-(0.74*P$185))</f>
        <v>-15.449336347804959</v>
      </c>
      <c r="N190" s="10">
        <f t="shared" si="70"/>
        <v>-0.27009329279379296</v>
      </c>
      <c r="O190" s="22" t="s">
        <v>68</v>
      </c>
      <c r="P190" s="22">
        <v>0.45</v>
      </c>
      <c r="Q190" s="89">
        <v>57.2</v>
      </c>
      <c r="R190" s="89"/>
      <c r="S190" s="10"/>
      <c r="T190" s="10"/>
      <c r="U190" s="10"/>
    </row>
    <row r="191" spans="1:22" x14ac:dyDescent="0.25">
      <c r="A191" s="22" t="s">
        <v>7</v>
      </c>
      <c r="B191" s="10">
        <v>36.700000000000003</v>
      </c>
      <c r="C191" s="10"/>
      <c r="D191" s="58">
        <v>3.08</v>
      </c>
      <c r="E191" s="10"/>
      <c r="F191" s="10"/>
      <c r="G191" s="74">
        <f>(5.01*(B191^0.59)*$Z$45)/(86.4*I$18)</f>
        <v>54.674694090243015</v>
      </c>
      <c r="H191" s="74">
        <f t="shared" si="68"/>
        <v>6.7592768216102019</v>
      </c>
      <c r="I191" s="22">
        <f t="shared" si="69"/>
        <v>2.2499678006247184</v>
      </c>
      <c r="J191" s="32">
        <v>1.1000000000000001</v>
      </c>
      <c r="K191" s="22"/>
      <c r="L191" s="22"/>
      <c r="M191" s="22">
        <f t="shared" si="71"/>
        <v>-9.7493363478049559</v>
      </c>
      <c r="N191" s="10">
        <f t="shared" si="70"/>
        <v>-0.17224975879514057</v>
      </c>
      <c r="O191" s="22" t="s">
        <v>69</v>
      </c>
      <c r="P191" s="22">
        <f>-1+(EXP(1)*(0.5*P192))</f>
        <v>3.0774227426885679</v>
      </c>
      <c r="Q191" s="89">
        <v>56.6</v>
      </c>
      <c r="R191" s="89"/>
      <c r="S191" s="10"/>
      <c r="T191" s="10"/>
      <c r="U191" s="10"/>
    </row>
    <row r="192" spans="1:22" x14ac:dyDescent="0.25">
      <c r="A192" s="22" t="s">
        <v>8</v>
      </c>
      <c r="B192" s="10">
        <v>108</v>
      </c>
      <c r="C192" s="10"/>
      <c r="D192" s="70">
        <v>6068</v>
      </c>
      <c r="E192" s="10"/>
      <c r="F192" s="10"/>
      <c r="G192" s="74">
        <f>(5.01*(B192^0.59)*$Z$45)/(86.4*I$19)</f>
        <v>106.80555441773807</v>
      </c>
      <c r="H192" s="74">
        <f t="shared" si="68"/>
        <v>0.74175115199129737</v>
      </c>
      <c r="I192" s="22">
        <f t="shared" si="69"/>
        <v>0.24690750979764414</v>
      </c>
      <c r="J192" s="32">
        <v>1.1000000000000001</v>
      </c>
      <c r="K192" s="22"/>
      <c r="L192" s="22"/>
      <c r="M192" s="22">
        <f t="shared" si="71"/>
        <v>61.550663652195041</v>
      </c>
      <c r="N192" s="10">
        <f t="shared" si="70"/>
        <v>1.1170719356115253</v>
      </c>
      <c r="O192" s="22" t="s">
        <v>74</v>
      </c>
      <c r="P192" s="22">
        <v>3</v>
      </c>
      <c r="Q192" s="89">
        <v>55.1</v>
      </c>
      <c r="R192" s="89"/>
      <c r="S192" s="10"/>
      <c r="T192" s="10"/>
      <c r="U192" s="10"/>
    </row>
    <row r="193" spans="1:21" ht="18.75" x14ac:dyDescent="0.3">
      <c r="A193" s="22" t="s">
        <v>9</v>
      </c>
      <c r="B193" s="10">
        <v>93.8</v>
      </c>
      <c r="C193" s="10"/>
      <c r="D193" s="70">
        <v>6405</v>
      </c>
      <c r="E193" s="10"/>
      <c r="F193" s="10"/>
      <c r="G193" s="74">
        <f>(5.01*(B193^0.59)*$Z$45)/(86.4*I$20)</f>
        <v>95.111506036647256</v>
      </c>
      <c r="H193" s="74">
        <f t="shared" si="68"/>
        <v>4.5894941376254446</v>
      </c>
      <c r="I193" s="22">
        <f t="shared" si="69"/>
        <v>0.41634951479914134</v>
      </c>
      <c r="J193" s="32">
        <v>2.4</v>
      </c>
      <c r="K193" s="22"/>
      <c r="L193" s="22"/>
      <c r="M193" s="22">
        <f t="shared" si="71"/>
        <v>47.350663652195038</v>
      </c>
      <c r="N193" s="10">
        <f t="shared" si="70"/>
        <v>0.81218977104965762</v>
      </c>
      <c r="O193" s="45" t="s">
        <v>75</v>
      </c>
      <c r="P193" s="10"/>
      <c r="Q193" s="89">
        <v>58.3</v>
      </c>
      <c r="R193" s="89"/>
      <c r="S193" s="10"/>
      <c r="T193" s="10"/>
      <c r="U193" s="10"/>
    </row>
    <row r="194" spans="1:21" x14ac:dyDescent="0.25">
      <c r="A194" s="22" t="s">
        <v>10</v>
      </c>
      <c r="B194" s="10">
        <v>176</v>
      </c>
      <c r="C194" s="10"/>
      <c r="D194" s="70">
        <v>9099</v>
      </c>
      <c r="E194" s="10"/>
      <c r="F194" s="10"/>
      <c r="G194" s="74">
        <f>(5.01*(B194^0.59)*$Z$45)/(86.4*I$21)</f>
        <v>142.47094239522949</v>
      </c>
      <c r="H194" s="74">
        <f t="shared" si="68"/>
        <v>1.94503000726412</v>
      </c>
      <c r="I194" s="22">
        <f t="shared" si="69"/>
        <v>3.9371125166472919E-2</v>
      </c>
      <c r="J194" s="32">
        <v>3.9</v>
      </c>
      <c r="K194" s="22"/>
      <c r="L194" s="22"/>
      <c r="M194" s="22">
        <f t="shared" si="71"/>
        <v>129.55066365219506</v>
      </c>
      <c r="N194" s="10">
        <f t="shared" si="70"/>
        <v>2.188355804935727</v>
      </c>
      <c r="O194" s="10"/>
      <c r="P194" s="22"/>
      <c r="Q194" s="89">
        <v>59.2</v>
      </c>
      <c r="R194" s="89"/>
      <c r="S194" s="10"/>
      <c r="T194" s="10"/>
      <c r="U194" s="10"/>
    </row>
    <row r="195" spans="1:21" x14ac:dyDescent="0.25">
      <c r="A195" s="22" t="s">
        <v>11</v>
      </c>
      <c r="B195" s="10">
        <v>58.3</v>
      </c>
      <c r="C195" s="10"/>
      <c r="D195" s="70">
        <v>5739</v>
      </c>
      <c r="E195" s="10"/>
      <c r="F195" s="10"/>
      <c r="G195" s="74">
        <f>(5.01*(B195^0.59)*$Z$45)/(86.4*I$22)</f>
        <v>71.841903576204274</v>
      </c>
      <c r="H195" s="74">
        <f t="shared" si="68"/>
        <v>60.091717391299241</v>
      </c>
      <c r="I195" s="22">
        <f t="shared" si="69"/>
        <v>1.2163712220609941</v>
      </c>
      <c r="J195" s="32">
        <v>3.9</v>
      </c>
      <c r="K195" s="22"/>
      <c r="L195" s="22"/>
      <c r="M195" s="22">
        <f t="shared" si="71"/>
        <v>11.850663652195038</v>
      </c>
      <c r="N195" s="10">
        <f t="shared" si="70"/>
        <v>0.18662462444401634</v>
      </c>
      <c r="O195" s="22"/>
      <c r="P195" s="22"/>
      <c r="Q195" s="89">
        <v>63.5</v>
      </c>
      <c r="R195" s="89"/>
      <c r="S195" s="10"/>
      <c r="T195" s="10"/>
      <c r="U195" s="10"/>
    </row>
    <row r="196" spans="1:21" x14ac:dyDescent="0.25">
      <c r="A196" s="22" t="s">
        <v>12</v>
      </c>
      <c r="B196" s="22">
        <v>1989</v>
      </c>
      <c r="C196" s="22">
        <v>1989</v>
      </c>
      <c r="D196" s="56">
        <v>1989</v>
      </c>
      <c r="E196" s="22">
        <v>1989</v>
      </c>
      <c r="F196" s="22">
        <v>1989</v>
      </c>
      <c r="G196" s="56">
        <v>1989</v>
      </c>
      <c r="H196" s="56">
        <v>1989</v>
      </c>
      <c r="I196" s="22">
        <v>1989</v>
      </c>
      <c r="J196" s="47" t="s">
        <v>70</v>
      </c>
      <c r="K196" s="49" t="s">
        <v>61</v>
      </c>
      <c r="L196" s="49" t="s">
        <v>62</v>
      </c>
      <c r="M196" s="39" t="s">
        <v>60</v>
      </c>
      <c r="N196" s="39" t="s">
        <v>73</v>
      </c>
      <c r="O196" s="105" t="s">
        <v>57</v>
      </c>
      <c r="P196" s="105"/>
      <c r="Q196" s="10"/>
      <c r="R196" s="10"/>
      <c r="S196" s="10"/>
      <c r="T196" s="10"/>
      <c r="U196" s="10"/>
    </row>
    <row r="197" spans="1:21" x14ac:dyDescent="0.25">
      <c r="A197" s="22" t="s">
        <v>0</v>
      </c>
      <c r="B197" s="10">
        <v>89.2</v>
      </c>
      <c r="C197" s="10"/>
      <c r="D197" s="58">
        <v>5.66</v>
      </c>
      <c r="E197" s="10"/>
      <c r="F197" s="10"/>
      <c r="G197" s="74">
        <f>(5.01*(B197^0.59)*$Z$45)/(86.4*I$11)</f>
        <v>92.331235713782803</v>
      </c>
      <c r="H197" s="74">
        <f t="shared" ref="H197:H208" si="72">L$30^(J197-(0.6458446*LN(P$34))-(9.53942*N197*(P$34/P$33))+(4.8904*N197))</f>
        <v>51.870154987410309</v>
      </c>
      <c r="I197" s="22">
        <f t="shared" ref="I197:I208" si="73">L$30^(K$28-(0.6458446*LN(P$34))-(9.53942*N197*(P$34/P$33))+(4.8904*N197))</f>
        <v>0.47177343291841012</v>
      </c>
      <c r="J197" s="32">
        <v>4.7</v>
      </c>
      <c r="K197" s="22">
        <f>(10^-8)*((P204/P203)^-7.2474)</f>
        <v>8.8839224002565862E-15</v>
      </c>
      <c r="L197" s="22">
        <f>(-3.2951*(P203/P202))+5.33</f>
        <v>3.0487769230769231</v>
      </c>
      <c r="M197" s="22">
        <f>(B197-(0.74*P$198))</f>
        <v>48.348149061628696</v>
      </c>
      <c r="N197" s="10">
        <f t="shared" ref="N197:N208" si="74">M197/Q197</f>
        <v>0.73926833427566807</v>
      </c>
      <c r="O197" s="22" t="s">
        <v>58</v>
      </c>
      <c r="P197" s="22">
        <f>(B197+B198+B199+B200+B201+B202+B203+B204+B205+B206+B207+B208)/12</f>
        <v>75.2</v>
      </c>
      <c r="Q197" s="89">
        <v>65.400000000000006</v>
      </c>
      <c r="R197" s="89"/>
      <c r="S197" s="10"/>
      <c r="T197" s="10"/>
      <c r="U197" s="10"/>
    </row>
    <row r="198" spans="1:21" x14ac:dyDescent="0.25">
      <c r="A198" s="22" t="s">
        <v>1</v>
      </c>
      <c r="B198" s="10">
        <v>103.4</v>
      </c>
      <c r="C198" s="10"/>
      <c r="D198" s="70">
        <v>6563</v>
      </c>
      <c r="E198" s="10"/>
      <c r="F198" s="10"/>
      <c r="G198" s="74">
        <f>(5.01*(B198^0.59)*$Z$45)/(86.4*I$12)</f>
        <v>111.53320039163151</v>
      </c>
      <c r="H198" s="74">
        <f t="shared" si="72"/>
        <v>30.389598319606343</v>
      </c>
      <c r="I198" s="22">
        <f t="shared" si="73"/>
        <v>0.27640181772605166</v>
      </c>
      <c r="J198" s="32">
        <v>4.7</v>
      </c>
      <c r="K198" s="22"/>
      <c r="L198" s="22"/>
      <c r="M198" s="22">
        <f t="shared" ref="M198:M208" si="75">(B198-(0.74*P$198))</f>
        <v>62.548149061628699</v>
      </c>
      <c r="N198" s="10">
        <f t="shared" si="74"/>
        <v>1.0512293959937598</v>
      </c>
      <c r="O198" s="22" t="s">
        <v>66</v>
      </c>
      <c r="P198" s="22">
        <f>((((B197-P197)^2+(B198-P197)^2+(B199-P197)^2+(B200-P197)^2+(B201-P197)^2+(B202-P197)^2+(B203-P197)^2+(B204-P197)^2+(B205-P197)^2+(B206-P197)^2+(B207-P197)^2+(B208-P197)^2))/(12-1))^0.5</f>
        <v>55.20520397077204</v>
      </c>
      <c r="Q198" s="89">
        <v>59.5</v>
      </c>
      <c r="R198" s="89"/>
      <c r="S198" s="10"/>
      <c r="T198" s="10"/>
      <c r="U198" s="10"/>
    </row>
    <row r="199" spans="1:21" x14ac:dyDescent="0.25">
      <c r="A199" s="22" t="s">
        <v>2</v>
      </c>
      <c r="B199" s="10">
        <v>152.1</v>
      </c>
      <c r="C199" s="10"/>
      <c r="D199" s="70">
        <v>8464</v>
      </c>
      <c r="E199" s="10"/>
      <c r="F199" s="10"/>
      <c r="G199" s="74">
        <f>(5.01*(B199^0.59)*$Z$45)/(86.4*I$13)</f>
        <v>126.49973629876781</v>
      </c>
      <c r="H199" s="74">
        <f t="shared" si="72"/>
        <v>4.9087696223731117</v>
      </c>
      <c r="I199" s="22">
        <f t="shared" si="73"/>
        <v>4.4646619943870605E-2</v>
      </c>
      <c r="J199" s="32">
        <v>4.7</v>
      </c>
      <c r="K199" s="22" t="s">
        <v>72</v>
      </c>
      <c r="L199" s="10">
        <f>EXP(1)</f>
        <v>2.7182818284590451</v>
      </c>
      <c r="M199" s="22">
        <f t="shared" si="75"/>
        <v>111.24814906162868</v>
      </c>
      <c r="N199" s="10">
        <f t="shared" si="74"/>
        <v>2.1149838224644237</v>
      </c>
      <c r="O199" s="22"/>
      <c r="P199" s="22"/>
      <c r="Q199" s="89">
        <v>52.6</v>
      </c>
      <c r="R199" s="89"/>
      <c r="S199" s="10"/>
      <c r="T199" s="10"/>
      <c r="U199" s="10"/>
    </row>
    <row r="200" spans="1:21" x14ac:dyDescent="0.25">
      <c r="A200" s="22" t="s">
        <v>3</v>
      </c>
      <c r="B200" s="10">
        <v>82.3</v>
      </c>
      <c r="C200" s="10"/>
      <c r="D200" s="70">
        <v>6406</v>
      </c>
      <c r="E200" s="10"/>
      <c r="F200" s="10"/>
      <c r="G200" s="74">
        <f>(5.01*(B200^0.59)*$Z$45)/(86.4*I$14)</f>
        <v>90.98288959054797</v>
      </c>
      <c r="H200" s="74">
        <f t="shared" si="72"/>
        <v>62.356644922665083</v>
      </c>
      <c r="I200" s="22">
        <f t="shared" si="73"/>
        <v>0.56715096470369719</v>
      </c>
      <c r="J200" s="32">
        <v>4.7</v>
      </c>
      <c r="K200" s="22"/>
      <c r="L200" s="22"/>
      <c r="M200" s="22">
        <f t="shared" si="75"/>
        <v>41.448149061628691</v>
      </c>
      <c r="N200" s="10">
        <f t="shared" si="74"/>
        <v>0.63183154057360813</v>
      </c>
      <c r="O200" s="22"/>
      <c r="P200" s="22"/>
      <c r="Q200" s="89">
        <v>65.599999999999994</v>
      </c>
      <c r="R200" s="89"/>
      <c r="S200" s="10"/>
      <c r="T200" s="10"/>
      <c r="U200" s="10"/>
    </row>
    <row r="201" spans="1:21" x14ac:dyDescent="0.25">
      <c r="A201" s="22" t="s">
        <v>4</v>
      </c>
      <c r="B201" s="10">
        <v>52</v>
      </c>
      <c r="C201" s="10"/>
      <c r="D201" s="70">
        <v>4436</v>
      </c>
      <c r="E201" s="10"/>
      <c r="F201" s="10"/>
      <c r="G201" s="74">
        <f>(5.01*(B201^0.59)*$Z$45)/(86.4*I$15)</f>
        <v>67.154536605652453</v>
      </c>
      <c r="H201" s="74">
        <f t="shared" si="72"/>
        <v>136.93373470758416</v>
      </c>
      <c r="I201" s="22">
        <f t="shared" si="73"/>
        <v>1.2454502617355914</v>
      </c>
      <c r="J201" s="32">
        <v>4.7</v>
      </c>
      <c r="K201" s="22" t="s">
        <v>77</v>
      </c>
      <c r="L201" s="22">
        <v>86400</v>
      </c>
      <c r="M201" s="22">
        <f t="shared" si="75"/>
        <v>11.148149061628693</v>
      </c>
      <c r="N201" s="10">
        <f t="shared" si="74"/>
        <v>0.17283952033532857</v>
      </c>
      <c r="O201" s="22"/>
      <c r="P201" s="22"/>
      <c r="Q201" s="89">
        <v>64.5</v>
      </c>
      <c r="R201" s="89"/>
      <c r="S201" s="10"/>
      <c r="T201" s="10"/>
      <c r="U201" s="10"/>
    </row>
    <row r="202" spans="1:21" x14ac:dyDescent="0.25">
      <c r="A202" s="22" t="s">
        <v>5</v>
      </c>
      <c r="B202" s="10">
        <v>51.2</v>
      </c>
      <c r="C202" s="10"/>
      <c r="D202" s="70">
        <v>4063</v>
      </c>
      <c r="E202" s="10"/>
      <c r="F202" s="10"/>
      <c r="G202" s="74">
        <f>(5.01*(B202^0.59)*$Z$45)/(86.4*I$16)</f>
        <v>68.761145016136084</v>
      </c>
      <c r="H202" s="74">
        <f t="shared" si="72"/>
        <v>61.070796031069449</v>
      </c>
      <c r="I202" s="22">
        <f t="shared" si="73"/>
        <v>1.2361896451857013</v>
      </c>
      <c r="J202" s="32">
        <v>3.9</v>
      </c>
      <c r="K202" s="22" t="s">
        <v>78</v>
      </c>
      <c r="L202" s="22">
        <f>L201*15</f>
        <v>1296000</v>
      </c>
      <c r="M202" s="22">
        <f t="shared" si="75"/>
        <v>10.348149061628696</v>
      </c>
      <c r="N202" s="10">
        <f t="shared" si="74"/>
        <v>0.17719433324706671</v>
      </c>
      <c r="O202" s="22" t="s">
        <v>67</v>
      </c>
      <c r="P202" s="22">
        <v>0.65</v>
      </c>
      <c r="Q202" s="89">
        <v>58.4</v>
      </c>
      <c r="R202" s="89"/>
      <c r="S202" s="10"/>
      <c r="T202" s="10"/>
      <c r="U202" s="10"/>
    </row>
    <row r="203" spans="1:21" x14ac:dyDescent="0.25">
      <c r="A203" s="22" t="s">
        <v>6</v>
      </c>
      <c r="B203" s="10">
        <v>10.199999999999999</v>
      </c>
      <c r="C203" s="10"/>
      <c r="D203" s="70">
        <v>1936</v>
      </c>
      <c r="E203" s="10"/>
      <c r="F203" s="10"/>
      <c r="G203" s="74">
        <f>(5.01*(B203^0.59)*$Z$45)/(86.4*I$17)</f>
        <v>25.686651009248617</v>
      </c>
      <c r="H203" s="74">
        <f t="shared" si="72"/>
        <v>46.251593352392142</v>
      </c>
      <c r="I203" s="22">
        <f t="shared" si="73"/>
        <v>4.195849885303252</v>
      </c>
      <c r="J203" s="32">
        <v>2.4</v>
      </c>
      <c r="K203" s="22"/>
      <c r="L203" s="22"/>
      <c r="M203" s="22">
        <f>(B203-(0.74*P$198))</f>
        <v>-30.651850938371307</v>
      </c>
      <c r="N203" s="10">
        <f t="shared" si="74"/>
        <v>-0.5358715199015962</v>
      </c>
      <c r="O203" s="22" t="s">
        <v>68</v>
      </c>
      <c r="P203" s="22">
        <v>0.45</v>
      </c>
      <c r="Q203" s="89">
        <v>57.2</v>
      </c>
      <c r="R203" s="89"/>
      <c r="S203" s="10"/>
      <c r="T203" s="10"/>
      <c r="U203" s="10"/>
    </row>
    <row r="204" spans="1:21" x14ac:dyDescent="0.25">
      <c r="A204" s="22" t="s">
        <v>7</v>
      </c>
      <c r="B204" s="10">
        <v>26</v>
      </c>
      <c r="C204" s="10"/>
      <c r="D204" s="70">
        <v>2181</v>
      </c>
      <c r="E204" s="10"/>
      <c r="F204" s="10"/>
      <c r="G204" s="74">
        <f>(5.01*(B204^0.59)*$Z$45)/(86.4*I$18)</f>
        <v>44.613640070077665</v>
      </c>
      <c r="H204" s="74">
        <f t="shared" si="72"/>
        <v>7.8885865009009644</v>
      </c>
      <c r="I204" s="22">
        <f t="shared" si="73"/>
        <v>2.6258823374009674</v>
      </c>
      <c r="J204" s="32">
        <v>1.1000000000000001</v>
      </c>
      <c r="K204" s="22"/>
      <c r="L204" s="22"/>
      <c r="M204" s="22">
        <f t="shared" si="75"/>
        <v>-14.851850938371307</v>
      </c>
      <c r="N204" s="10">
        <f t="shared" si="74"/>
        <v>-0.26240019325744357</v>
      </c>
      <c r="O204" s="22" t="s">
        <v>69</v>
      </c>
      <c r="P204" s="22">
        <f>-1+(EXP(1)*(0.5*P205))</f>
        <v>3.0774227426885679</v>
      </c>
      <c r="Q204" s="89">
        <v>56.6</v>
      </c>
      <c r="R204" s="89"/>
      <c r="S204" s="10"/>
      <c r="T204" s="10"/>
      <c r="U204" s="10"/>
    </row>
    <row r="205" spans="1:21" x14ac:dyDescent="0.25">
      <c r="A205" s="22" t="s">
        <v>8</v>
      </c>
      <c r="B205" s="10">
        <v>103.4</v>
      </c>
      <c r="C205" s="10"/>
      <c r="D205" s="70">
        <v>5793</v>
      </c>
      <c r="E205" s="10"/>
      <c r="F205" s="10"/>
      <c r="G205" s="74">
        <f>(5.01*(B205^0.59)*$Z$45)/(86.4*I$19)</f>
        <v>104.09765369885609</v>
      </c>
      <c r="H205" s="74">
        <f t="shared" si="72"/>
        <v>0.71909129580435249</v>
      </c>
      <c r="I205" s="22">
        <f t="shared" si="73"/>
        <v>0.23936469891225309</v>
      </c>
      <c r="J205" s="32">
        <v>1.1000000000000001</v>
      </c>
      <c r="K205" s="22"/>
      <c r="L205" s="22"/>
      <c r="M205" s="22">
        <f t="shared" si="75"/>
        <v>62.548149061628699</v>
      </c>
      <c r="N205" s="10">
        <f t="shared" si="74"/>
        <v>1.1351751190858204</v>
      </c>
      <c r="O205" s="22" t="s">
        <v>74</v>
      </c>
      <c r="P205" s="22">
        <v>3</v>
      </c>
      <c r="Q205" s="89">
        <v>55.1</v>
      </c>
      <c r="R205" s="89"/>
      <c r="S205" s="10"/>
      <c r="T205" s="10"/>
      <c r="U205" s="10"/>
    </row>
    <row r="206" spans="1:21" ht="18.75" x14ac:dyDescent="0.3">
      <c r="A206" s="22" t="s">
        <v>9</v>
      </c>
      <c r="B206" s="10">
        <v>185.7</v>
      </c>
      <c r="C206" s="10"/>
      <c r="D206" s="70">
        <v>9406</v>
      </c>
      <c r="E206" s="10"/>
      <c r="F206" s="10"/>
      <c r="G206" s="74">
        <f>(5.01*(B206^0.59)*$Z$45)/(86.4*I$20)</f>
        <v>142.30901317468215</v>
      </c>
      <c r="H206" s="74">
        <f t="shared" si="72"/>
        <v>0.26124111047845056</v>
      </c>
      <c r="I206" s="22">
        <f t="shared" si="73"/>
        <v>2.3699258857658528E-2</v>
      </c>
      <c r="J206" s="32">
        <v>2.4</v>
      </c>
      <c r="K206" s="22"/>
      <c r="L206" s="22"/>
      <c r="M206" s="22">
        <f t="shared" si="75"/>
        <v>144.84814906162867</v>
      </c>
      <c r="N206" s="10">
        <f t="shared" si="74"/>
        <v>2.4845308586900288</v>
      </c>
      <c r="O206" s="45" t="s">
        <v>75</v>
      </c>
      <c r="P206" s="10"/>
      <c r="Q206" s="89">
        <v>58.3</v>
      </c>
      <c r="R206" s="89"/>
      <c r="S206" s="10"/>
      <c r="T206" s="10"/>
      <c r="U206" s="10"/>
    </row>
    <row r="207" spans="1:21" x14ac:dyDescent="0.25">
      <c r="A207" s="22" t="s">
        <v>10</v>
      </c>
      <c r="B207" s="10">
        <v>8.5</v>
      </c>
      <c r="C207" s="10"/>
      <c r="D207" s="58">
        <v>3.41</v>
      </c>
      <c r="E207" s="10"/>
      <c r="F207" s="10"/>
      <c r="G207" s="74">
        <f>(5.01*(B207^0.59)*$Z$45)/(86.4*I$21)</f>
        <v>23.835868959691599</v>
      </c>
      <c r="H207" s="74">
        <f t="shared" si="72"/>
        <v>211.08980850998745</v>
      </c>
      <c r="I207" s="22">
        <f t="shared" si="73"/>
        <v>4.2728612109710076</v>
      </c>
      <c r="J207" s="32">
        <v>3.9</v>
      </c>
      <c r="K207" s="22"/>
      <c r="L207" s="22"/>
      <c r="M207" s="22">
        <f t="shared" si="75"/>
        <v>-32.351850938371307</v>
      </c>
      <c r="N207" s="10">
        <f t="shared" si="74"/>
        <v>-0.54648396855356929</v>
      </c>
      <c r="O207" s="10"/>
      <c r="P207" s="22"/>
      <c r="Q207" s="89">
        <v>59.2</v>
      </c>
      <c r="R207" s="89"/>
      <c r="S207" s="10"/>
      <c r="T207" s="10"/>
      <c r="U207" s="10"/>
    </row>
    <row r="208" spans="1:21" x14ac:dyDescent="0.25">
      <c r="A208" s="22" t="s">
        <v>11</v>
      </c>
      <c r="B208" s="10">
        <v>38.4</v>
      </c>
      <c r="C208" s="10"/>
      <c r="D208" s="70">
        <v>2859</v>
      </c>
      <c r="E208" s="10"/>
      <c r="F208" s="10"/>
      <c r="G208" s="74">
        <f>(5.01*(B208^0.59)*$Z$45)/(86.4*I$22)</f>
        <v>56.155048447716709</v>
      </c>
      <c r="H208" s="74">
        <f t="shared" si="72"/>
        <v>88.401184187841054</v>
      </c>
      <c r="I208" s="22">
        <f t="shared" si="73"/>
        <v>1.7894089420345394</v>
      </c>
      <c r="J208" s="32">
        <v>3.9</v>
      </c>
      <c r="K208" s="22"/>
      <c r="L208" s="22"/>
      <c r="M208" s="22">
        <f t="shared" si="75"/>
        <v>-2.4518509383713081</v>
      </c>
      <c r="N208" s="10">
        <f t="shared" si="74"/>
        <v>-3.8611825801122962E-2</v>
      </c>
      <c r="O208" s="22"/>
      <c r="P208" s="22"/>
      <c r="Q208" s="89">
        <v>63.5</v>
      </c>
      <c r="R208" s="89"/>
      <c r="S208" s="10"/>
      <c r="T208" s="10"/>
      <c r="U208" s="10"/>
    </row>
    <row r="209" spans="1:21" x14ac:dyDescent="0.25">
      <c r="A209" s="22" t="s">
        <v>12</v>
      </c>
      <c r="B209" s="22">
        <v>1990</v>
      </c>
      <c r="C209" s="22">
        <v>1990</v>
      </c>
      <c r="D209" s="56">
        <v>1990</v>
      </c>
      <c r="E209" s="22">
        <v>1990</v>
      </c>
      <c r="F209" s="22">
        <v>1990</v>
      </c>
      <c r="G209" s="56">
        <v>1990</v>
      </c>
      <c r="H209" s="56">
        <v>1990</v>
      </c>
      <c r="I209" s="22">
        <v>1990</v>
      </c>
      <c r="J209" s="47" t="s">
        <v>70</v>
      </c>
      <c r="K209" s="49" t="s">
        <v>61</v>
      </c>
      <c r="L209" s="49" t="s">
        <v>62</v>
      </c>
      <c r="M209" s="39" t="s">
        <v>60</v>
      </c>
      <c r="N209" s="39" t="s">
        <v>73</v>
      </c>
      <c r="O209" s="105" t="s">
        <v>57</v>
      </c>
      <c r="P209" s="105"/>
      <c r="Q209" s="10"/>
      <c r="R209" s="10"/>
      <c r="S209" s="10"/>
      <c r="T209" s="10"/>
      <c r="U209" s="10"/>
    </row>
    <row r="210" spans="1:21" x14ac:dyDescent="0.25">
      <c r="A210" s="22" t="s">
        <v>0</v>
      </c>
      <c r="B210" s="10">
        <v>44.1</v>
      </c>
      <c r="C210" s="10"/>
      <c r="D210" s="70">
        <v>3474</v>
      </c>
      <c r="E210" s="10"/>
      <c r="F210" s="10"/>
      <c r="G210" s="74">
        <f>(5.01*(B210^0.59)*$Z$45)/(86.4*I$11)</f>
        <v>60.932942587362859</v>
      </c>
      <c r="H210" s="74">
        <f t="shared" ref="H210:H221" si="76">L$30^(J210-(0.6458446*LN(P$34))-(9.53942*N210*(P$34/P$33))+(4.8904*N210))</f>
        <v>175.64384238587678</v>
      </c>
      <c r="I210" s="22">
        <f t="shared" ref="I210:I221" si="77">L$30^(K$28-(0.6458446*LN(P$34))-(9.53942*N210*(P$34/P$33))+(4.8904*N210))</f>
        <v>1.5975294177061479</v>
      </c>
      <c r="J210" s="32">
        <v>4.7</v>
      </c>
      <c r="K210" s="22">
        <f>(10^-8)*((P217/P216)^-7.2474)</f>
        <v>8.8839224002565862E-15</v>
      </c>
      <c r="L210" s="22">
        <f>(-3.2951*(P216/P215))+5.33</f>
        <v>3.0487769230769231</v>
      </c>
      <c r="M210" s="22">
        <f>(B210-(0.74*P$211))</f>
        <v>1.8032197274515696</v>
      </c>
      <c r="N210" s="10">
        <f t="shared" ref="N210:N221" si="78">M210/Q210</f>
        <v>2.7572167086415435E-2</v>
      </c>
      <c r="O210" s="22" t="s">
        <v>58</v>
      </c>
      <c r="P210" s="22">
        <f>(B210+B211+B212+B213+B214+B215+B216+B217+B218+B219+B220+B221)/12</f>
        <v>58.491666666666674</v>
      </c>
      <c r="Q210" s="89">
        <v>65.400000000000006</v>
      </c>
      <c r="R210" s="89"/>
      <c r="S210" s="10"/>
      <c r="T210" s="10"/>
      <c r="U210" s="10"/>
    </row>
    <row r="211" spans="1:21" x14ac:dyDescent="0.25">
      <c r="A211" s="22" t="s">
        <v>1</v>
      </c>
      <c r="B211" s="10">
        <v>106.7</v>
      </c>
      <c r="C211" s="10"/>
      <c r="D211" s="70">
        <v>6122</v>
      </c>
      <c r="E211" s="10"/>
      <c r="F211" s="10"/>
      <c r="G211" s="74">
        <f>(5.01*(B211^0.59)*$Z$45)/(86.4*I$12)</f>
        <v>113.61980873074123</v>
      </c>
      <c r="H211" s="74">
        <f t="shared" si="76"/>
        <v>28.808419464186688</v>
      </c>
      <c r="I211" s="22">
        <f t="shared" si="77"/>
        <v>0.26202055788866757</v>
      </c>
      <c r="J211" s="32">
        <v>4.7</v>
      </c>
      <c r="K211" s="22"/>
      <c r="L211" s="22"/>
      <c r="M211" s="22">
        <f t="shared" ref="M211:M221" si="79">(B211-(0.74*P$211))</f>
        <v>64.403219727451571</v>
      </c>
      <c r="N211" s="10">
        <f t="shared" si="78"/>
        <v>1.0824070542428836</v>
      </c>
      <c r="O211" s="22" t="s">
        <v>66</v>
      </c>
      <c r="P211" s="22">
        <f>((((B210-P210)^2+(B211-P210)^2+(B212-P210)^2+(B213-P210)^2+(B214-P210)^2+(B215-P210)^2+(B216-P210)^2+(B217-P210)^2+(B218-P210)^2+(B219-P210)^2+(B220-P210)^2+(B221-P210)^2))/(12-1))^0.5</f>
        <v>57.157811179119506</v>
      </c>
      <c r="Q211" s="89">
        <v>59.5</v>
      </c>
      <c r="R211" s="89"/>
      <c r="S211" s="10"/>
      <c r="T211" s="10"/>
      <c r="U211" s="10"/>
    </row>
    <row r="212" spans="1:21" x14ac:dyDescent="0.25">
      <c r="A212" s="22" t="s">
        <v>2</v>
      </c>
      <c r="B212" s="10">
        <v>73.2</v>
      </c>
      <c r="C212" s="10"/>
      <c r="D212" s="70">
        <v>5722</v>
      </c>
      <c r="E212" s="10"/>
      <c r="F212" s="10"/>
      <c r="G212" s="74">
        <f>(5.01*(B212^0.59)*$Z$45)/(86.4*I$13)</f>
        <v>82.166525303987797</v>
      </c>
      <c r="H212" s="74">
        <f t="shared" si="76"/>
        <v>67.277294268907795</v>
      </c>
      <c r="I212" s="22">
        <f t="shared" si="77"/>
        <v>0.61190563402805365</v>
      </c>
      <c r="J212" s="32">
        <v>4.7</v>
      </c>
      <c r="K212" s="22" t="s">
        <v>72</v>
      </c>
      <c r="L212" s="10">
        <f>EXP(1)</f>
        <v>2.7182818284590451</v>
      </c>
      <c r="M212" s="22">
        <f t="shared" si="79"/>
        <v>30.903219727451571</v>
      </c>
      <c r="N212" s="10">
        <f t="shared" si="78"/>
        <v>0.58751368303139873</v>
      </c>
      <c r="O212" s="22"/>
      <c r="P212" s="22"/>
      <c r="Q212" s="89">
        <v>52.6</v>
      </c>
      <c r="R212" s="89"/>
      <c r="S212" s="10"/>
      <c r="T212" s="10"/>
      <c r="U212" s="10"/>
    </row>
    <row r="213" spans="1:21" x14ac:dyDescent="0.25">
      <c r="A213" s="22" t="s">
        <v>3</v>
      </c>
      <c r="B213" s="10">
        <v>97.3</v>
      </c>
      <c r="C213" s="10"/>
      <c r="D213" s="70">
        <v>6131</v>
      </c>
      <c r="E213" s="10"/>
      <c r="F213" s="10"/>
      <c r="G213" s="74">
        <f>(5.01*(B213^0.59)*$Z$45)/(86.4*I$14)</f>
        <v>100.42929147338722</v>
      </c>
      <c r="H213" s="74">
        <f t="shared" si="76"/>
        <v>43.760918998955518</v>
      </c>
      <c r="I213" s="22">
        <f t="shared" si="77"/>
        <v>0.39801768452036901</v>
      </c>
      <c r="J213" s="32">
        <v>4.7</v>
      </c>
      <c r="K213" s="22"/>
      <c r="L213" s="22"/>
      <c r="M213" s="22">
        <f>(B213-(0.74*P$211))</f>
        <v>55.003219727451565</v>
      </c>
      <c r="N213" s="10">
        <f t="shared" si="78"/>
        <v>0.83846371535749342</v>
      </c>
      <c r="O213" s="22"/>
      <c r="P213" s="22"/>
      <c r="Q213" s="89">
        <v>65.599999999999994</v>
      </c>
      <c r="R213" s="89"/>
      <c r="S213" s="10"/>
      <c r="T213" s="10"/>
      <c r="U213" s="10"/>
    </row>
    <row r="214" spans="1:21" x14ac:dyDescent="0.25">
      <c r="A214" s="22" t="s">
        <v>4</v>
      </c>
      <c r="B214" s="10">
        <v>18.100000000000001</v>
      </c>
      <c r="C214" s="10"/>
      <c r="D214" s="70">
        <v>2967</v>
      </c>
      <c r="E214" s="10"/>
      <c r="F214" s="10"/>
      <c r="G214" s="74">
        <f>(5.01*(B214^0.59)*$Z$45)/(86.4*I$15)</f>
        <v>36.029956937853697</v>
      </c>
      <c r="H214" s="74">
        <f t="shared" si="76"/>
        <v>350.24701399868866</v>
      </c>
      <c r="I214" s="22">
        <f t="shared" si="77"/>
        <v>3.1855936463596319</v>
      </c>
      <c r="J214" s="32">
        <v>4.7</v>
      </c>
      <c r="K214" s="22" t="s">
        <v>77</v>
      </c>
      <c r="L214" s="22">
        <v>86400</v>
      </c>
      <c r="M214" s="22">
        <f t="shared" si="79"/>
        <v>-24.19678027254843</v>
      </c>
      <c r="N214" s="10">
        <f t="shared" si="78"/>
        <v>-0.37514388019454931</v>
      </c>
      <c r="O214" s="22"/>
      <c r="P214" s="22"/>
      <c r="Q214" s="89">
        <v>64.5</v>
      </c>
      <c r="R214" s="89"/>
      <c r="S214" s="10"/>
      <c r="T214" s="10"/>
      <c r="U214" s="10"/>
    </row>
    <row r="215" spans="1:21" x14ac:dyDescent="0.25">
      <c r="A215" s="22" t="s">
        <v>5</v>
      </c>
      <c r="B215" s="10">
        <v>18.100000000000001</v>
      </c>
      <c r="C215" s="10"/>
      <c r="D215" s="70">
        <v>1898</v>
      </c>
      <c r="E215" s="10"/>
      <c r="F215" s="10"/>
      <c r="G215" s="74">
        <f>(5.01*(B215^0.59)*$Z$45)/(86.4*I$16)</f>
        <v>37.230955502448822</v>
      </c>
      <c r="H215" s="74">
        <f t="shared" si="76"/>
        <v>168.30767154050807</v>
      </c>
      <c r="I215" s="22">
        <f t="shared" si="77"/>
        <v>3.406868982972528</v>
      </c>
      <c r="J215" s="32">
        <v>3.9</v>
      </c>
      <c r="K215" s="22" t="s">
        <v>78</v>
      </c>
      <c r="L215" s="22">
        <f>L214*15</f>
        <v>1296000</v>
      </c>
      <c r="M215" s="22">
        <f t="shared" si="79"/>
        <v>-24.19678027254843</v>
      </c>
      <c r="N215" s="10">
        <f t="shared" si="78"/>
        <v>-0.41432842932445946</v>
      </c>
      <c r="O215" s="22" t="s">
        <v>67</v>
      </c>
      <c r="P215" s="22">
        <v>0.65</v>
      </c>
      <c r="Q215" s="89">
        <v>58.4</v>
      </c>
      <c r="R215" s="89"/>
      <c r="S215" s="10"/>
      <c r="T215" s="10"/>
      <c r="U215" s="10"/>
    </row>
    <row r="216" spans="1:21" x14ac:dyDescent="0.25">
      <c r="A216" s="22" t="s">
        <v>6</v>
      </c>
      <c r="B216" s="10">
        <v>10.6</v>
      </c>
      <c r="C216" s="10"/>
      <c r="D216" s="58">
        <v>1.39</v>
      </c>
      <c r="E216" s="10"/>
      <c r="F216" s="10"/>
      <c r="G216" s="74">
        <f>(5.01*(B216^0.59)*$Z$45)/(86.4*I$17)</f>
        <v>26.276277781712569</v>
      </c>
      <c r="H216" s="74">
        <f t="shared" si="76"/>
        <v>47.72254165277176</v>
      </c>
      <c r="I216" s="22">
        <f t="shared" si="77"/>
        <v>4.329291304508228</v>
      </c>
      <c r="J216" s="32">
        <v>2.4</v>
      </c>
      <c r="K216" s="22"/>
      <c r="L216" s="22"/>
      <c r="M216" s="22">
        <f t="shared" si="79"/>
        <v>-31.69678027254843</v>
      </c>
      <c r="N216" s="10">
        <f t="shared" si="78"/>
        <v>-0.55413951525434313</v>
      </c>
      <c r="O216" s="22" t="s">
        <v>68</v>
      </c>
      <c r="P216" s="22">
        <v>0.45</v>
      </c>
      <c r="Q216" s="89">
        <v>57.2</v>
      </c>
      <c r="R216" s="89"/>
      <c r="S216" s="10"/>
      <c r="T216" s="10"/>
      <c r="U216" s="10"/>
    </row>
    <row r="217" spans="1:21" x14ac:dyDescent="0.25">
      <c r="A217" s="22" t="s">
        <v>7</v>
      </c>
      <c r="B217" s="10">
        <v>24.7</v>
      </c>
      <c r="C217" s="10"/>
      <c r="D217" s="70">
        <v>2114</v>
      </c>
      <c r="E217" s="10"/>
      <c r="F217" s="10"/>
      <c r="G217" s="74">
        <f>(5.01*(B217^0.59)*$Z$45)/(86.4*I$18)</f>
        <v>43.283720734212466</v>
      </c>
      <c r="H217" s="74">
        <f t="shared" si="76"/>
        <v>8.5722631161583269</v>
      </c>
      <c r="I217" s="22">
        <f t="shared" si="77"/>
        <v>2.853458513220724</v>
      </c>
      <c r="J217" s="32">
        <v>1.1000000000000001</v>
      </c>
      <c r="K217" s="22"/>
      <c r="L217" s="22"/>
      <c r="M217" s="22">
        <f t="shared" si="79"/>
        <v>-17.596780272548433</v>
      </c>
      <c r="N217" s="10">
        <f t="shared" si="78"/>
        <v>-0.31089717796021965</v>
      </c>
      <c r="O217" s="22" t="s">
        <v>69</v>
      </c>
      <c r="P217" s="22">
        <f>-1+(EXP(1)*(0.5*P218))</f>
        <v>3.0774227426885679</v>
      </c>
      <c r="Q217" s="89">
        <v>56.6</v>
      </c>
      <c r="R217" s="89"/>
      <c r="S217" s="10"/>
      <c r="T217" s="10"/>
      <c r="U217" s="10"/>
    </row>
    <row r="218" spans="1:21" x14ac:dyDescent="0.25">
      <c r="A218" s="22" t="s">
        <v>8</v>
      </c>
      <c r="B218" s="10">
        <v>16.100000000000001</v>
      </c>
      <c r="C218" s="10"/>
      <c r="D218" s="70">
        <v>1839</v>
      </c>
      <c r="E218" s="10"/>
      <c r="F218" s="10"/>
      <c r="G218" s="74">
        <f>(5.01*(B218^0.59)*$Z$45)/(86.4*I$19)</f>
        <v>34.745701944177149</v>
      </c>
      <c r="H218" s="74">
        <f t="shared" si="76"/>
        <v>11.364888732444282</v>
      </c>
      <c r="I218" s="22">
        <f t="shared" si="77"/>
        <v>3.7830428284768551</v>
      </c>
      <c r="J218" s="32">
        <v>1.1000000000000001</v>
      </c>
      <c r="K218" s="22"/>
      <c r="L218" s="22"/>
      <c r="M218" s="22">
        <f t="shared" si="79"/>
        <v>-26.19678027254843</v>
      </c>
      <c r="N218" s="10">
        <f t="shared" si="78"/>
        <v>-0.47544065830396426</v>
      </c>
      <c r="O218" s="22" t="s">
        <v>74</v>
      </c>
      <c r="P218" s="22">
        <v>3</v>
      </c>
      <c r="Q218" s="89">
        <v>55.1</v>
      </c>
      <c r="R218" s="89"/>
      <c r="S218" s="10"/>
      <c r="T218" s="10"/>
      <c r="U218" s="10"/>
    </row>
    <row r="219" spans="1:21" ht="18.75" x14ac:dyDescent="0.3">
      <c r="A219" s="22" t="s">
        <v>9</v>
      </c>
      <c r="B219" s="10">
        <v>207.6</v>
      </c>
      <c r="C219" s="10"/>
      <c r="D219" s="70">
        <v>9184</v>
      </c>
      <c r="E219" s="10"/>
      <c r="F219" s="10"/>
      <c r="G219" s="74">
        <f>(5.01*(B219^0.59)*$Z$45)/(86.4*I$20)</f>
        <v>151.98387736696881</v>
      </c>
      <c r="H219" s="74">
        <f t="shared" si="76"/>
        <v>0.1431849325186208</v>
      </c>
      <c r="I219" s="22">
        <f t="shared" si="77"/>
        <v>1.2989444019972035E-2</v>
      </c>
      <c r="J219" s="32">
        <v>2.4</v>
      </c>
      <c r="K219" s="22"/>
      <c r="L219" s="22"/>
      <c r="M219" s="22">
        <f t="shared" si="79"/>
        <v>165.30321972745156</v>
      </c>
      <c r="N219" s="10">
        <f t="shared" si="78"/>
        <v>2.8353897037298728</v>
      </c>
      <c r="O219" s="45" t="s">
        <v>75</v>
      </c>
      <c r="P219" s="10"/>
      <c r="Q219" s="89">
        <v>58.3</v>
      </c>
      <c r="R219" s="89"/>
      <c r="S219" s="10"/>
      <c r="T219" s="10"/>
      <c r="U219" s="10"/>
    </row>
    <row r="220" spans="1:21" x14ac:dyDescent="0.25">
      <c r="A220" s="22" t="s">
        <v>10</v>
      </c>
      <c r="B220" s="10">
        <v>27.6</v>
      </c>
      <c r="C220" s="10"/>
      <c r="D220" s="70">
        <v>4712</v>
      </c>
      <c r="E220" s="10"/>
      <c r="F220" s="10"/>
      <c r="G220" s="74">
        <f>(5.01*(B220^0.59)*$Z$45)/(86.4*I$21)</f>
        <v>47.754046879267193</v>
      </c>
      <c r="H220" s="74">
        <f t="shared" si="76"/>
        <v>126.61831654443671</v>
      </c>
      <c r="I220" s="22">
        <f t="shared" si="77"/>
        <v>2.5629967509093414</v>
      </c>
      <c r="J220" s="32">
        <v>3.9</v>
      </c>
      <c r="K220" s="22"/>
      <c r="L220" s="22"/>
      <c r="M220" s="22">
        <f t="shared" si="79"/>
        <v>-14.69678027254843</v>
      </c>
      <c r="N220" s="10">
        <f t="shared" si="78"/>
        <v>-0.24825642352277752</v>
      </c>
      <c r="O220" s="10"/>
      <c r="P220" s="22"/>
      <c r="Q220" s="89">
        <v>59.2</v>
      </c>
      <c r="R220" s="89"/>
      <c r="S220" s="10"/>
      <c r="T220" s="10"/>
      <c r="U220" s="10"/>
    </row>
    <row r="221" spans="1:21" x14ac:dyDescent="0.25">
      <c r="A221" s="22" t="s">
        <v>11</v>
      </c>
      <c r="B221" s="10">
        <v>57.8</v>
      </c>
      <c r="C221" s="10"/>
      <c r="D221" s="70">
        <v>4007</v>
      </c>
      <c r="E221" s="10"/>
      <c r="F221" s="10"/>
      <c r="G221" s="74">
        <f>(5.01*(B221^0.59)*$Z$45)/(86.4*I$22)</f>
        <v>71.477739363748057</v>
      </c>
      <c r="H221" s="74">
        <f t="shared" si="76"/>
        <v>54.450523964167196</v>
      </c>
      <c r="I221" s="22">
        <f t="shared" si="77"/>
        <v>1.1021826842603326</v>
      </c>
      <c r="J221" s="32">
        <v>3.9</v>
      </c>
      <c r="K221" s="22"/>
      <c r="L221" s="22"/>
      <c r="M221" s="22">
        <f t="shared" si="79"/>
        <v>15.503219727451565</v>
      </c>
      <c r="N221" s="10">
        <f t="shared" si="78"/>
        <v>0.24414519255829237</v>
      </c>
      <c r="O221" s="22"/>
      <c r="P221" s="22"/>
      <c r="Q221" s="89">
        <v>63.5</v>
      </c>
      <c r="R221" s="89"/>
      <c r="S221" s="10"/>
      <c r="T221" s="10"/>
      <c r="U221" s="10"/>
    </row>
    <row r="222" spans="1:21" x14ac:dyDescent="0.25">
      <c r="A222" s="22" t="s">
        <v>12</v>
      </c>
      <c r="B222" s="22">
        <v>1991</v>
      </c>
      <c r="C222" s="22">
        <v>1991</v>
      </c>
      <c r="D222" s="56">
        <v>1991</v>
      </c>
      <c r="E222" s="22">
        <v>1991</v>
      </c>
      <c r="F222" s="22">
        <v>1991</v>
      </c>
      <c r="G222" s="56">
        <v>1991</v>
      </c>
      <c r="H222" s="56">
        <v>1991</v>
      </c>
      <c r="I222" s="22">
        <v>1991</v>
      </c>
      <c r="J222" s="47" t="s">
        <v>70</v>
      </c>
      <c r="K222" s="49" t="s">
        <v>61</v>
      </c>
      <c r="L222" s="49" t="s">
        <v>62</v>
      </c>
      <c r="M222" s="39" t="s">
        <v>60</v>
      </c>
      <c r="N222" s="39" t="s">
        <v>73</v>
      </c>
      <c r="O222" s="105" t="s">
        <v>57</v>
      </c>
      <c r="P222" s="105"/>
      <c r="Q222" s="10"/>
      <c r="R222" s="10"/>
      <c r="S222" s="10"/>
      <c r="T222" s="10"/>
      <c r="U222" s="10"/>
    </row>
    <row r="223" spans="1:21" x14ac:dyDescent="0.25">
      <c r="A223" s="22" t="s">
        <v>0</v>
      </c>
      <c r="B223" s="10">
        <v>73</v>
      </c>
      <c r="C223" s="10"/>
      <c r="D223" s="70">
        <v>4943</v>
      </c>
      <c r="E223" s="10"/>
      <c r="F223" s="10"/>
      <c r="G223" s="74">
        <f>(5.01*(B223^0.59)*$Z$45)/(86.4*I$11)</f>
        <v>82.033996784933805</v>
      </c>
      <c r="H223" s="74">
        <f t="shared" ref="H223:H234" si="80">L$30^(J223-(0.6458446*LN(P$34))-(9.53942*N223*(P$34/P$33))+(4.8904*N223))</f>
        <v>66.175273331507995</v>
      </c>
      <c r="I223" s="22">
        <f t="shared" ref="I223:I234" si="81">L$30^(K$28-(0.6458446*LN(P$34))-(9.53942*N223*(P$34/P$33))+(4.8904*N223))</f>
        <v>0.60188244823053183</v>
      </c>
      <c r="J223" s="32">
        <v>4.7</v>
      </c>
      <c r="K223" s="22">
        <f>(10^-8)*((P230/P229)^-7.2474)</f>
        <v>8.8839224002565862E-15</v>
      </c>
      <c r="L223" s="22">
        <f>(-3.2951*(P229/P228))+5.33</f>
        <v>3.0487769230769231</v>
      </c>
      <c r="M223" s="22">
        <f>(B223-(0.74*P$224))</f>
        <v>39.053650713087116</v>
      </c>
      <c r="N223" s="10">
        <f t="shared" ref="N223:N234" si="82">M223/Q223</f>
        <v>0.59715062252426776</v>
      </c>
      <c r="O223" s="22" t="s">
        <v>58</v>
      </c>
      <c r="P223" s="22">
        <f>(B223+B224+B225+B226+B227+B228+B229+B230+B231+B232+B233+B234)/12</f>
        <v>62.07500000000001</v>
      </c>
      <c r="Q223" s="89">
        <v>65.400000000000006</v>
      </c>
      <c r="R223" s="89"/>
      <c r="S223" s="10"/>
      <c r="T223" s="10"/>
      <c r="U223" s="10"/>
    </row>
    <row r="224" spans="1:21" x14ac:dyDescent="0.25">
      <c r="A224" s="22" t="s">
        <v>1</v>
      </c>
      <c r="B224" s="10">
        <v>27.2</v>
      </c>
      <c r="C224" s="10"/>
      <c r="D224" s="70">
        <v>3171</v>
      </c>
      <c r="E224" s="10"/>
      <c r="F224" s="10"/>
      <c r="G224" s="74">
        <f>(5.01*(B224^0.59)*$Z$45)/(86.4*I$12)</f>
        <v>50.726243226671549</v>
      </c>
      <c r="H224" s="74">
        <f t="shared" si="80"/>
        <v>223.63851809968475</v>
      </c>
      <c r="I224" s="22">
        <f t="shared" si="81"/>
        <v>2.0340542927292677</v>
      </c>
      <c r="J224" s="32">
        <v>4.7</v>
      </c>
      <c r="K224" s="22"/>
      <c r="L224" s="22"/>
      <c r="M224" s="22">
        <f t="shared" ref="M224:M234" si="83">(B224-(0.74*P$224))</f>
        <v>-6.7463492869128849</v>
      </c>
      <c r="N224" s="10">
        <f t="shared" si="82"/>
        <v>-0.11338402162878798</v>
      </c>
      <c r="O224" s="22" t="s">
        <v>66</v>
      </c>
      <c r="P224" s="22">
        <f>((((B223-P223)^2+(B224-P223)^2+(B225-P223)^2+(B226-P223)^2+(B227-P223)^2+(B228-P223)^2+(B229-P223)^2+(B230-P223)^2+(B231-P223)^2+(B232-P223)^2+(B233-P223)^2+(B234-P223)^2))/(12-1))^0.5</f>
        <v>45.873444982314709</v>
      </c>
      <c r="Q224" s="89">
        <v>59.5</v>
      </c>
      <c r="R224" s="89"/>
      <c r="S224" s="10"/>
      <c r="T224" s="10"/>
      <c r="U224" s="10"/>
    </row>
    <row r="225" spans="1:21" x14ac:dyDescent="0.25">
      <c r="A225" s="22" t="s">
        <v>2</v>
      </c>
      <c r="B225" s="10">
        <v>146.1</v>
      </c>
      <c r="C225" s="10"/>
      <c r="D225" s="70">
        <v>7458</v>
      </c>
      <c r="E225" s="10"/>
      <c r="F225" s="10"/>
      <c r="G225" s="74">
        <f>(5.01*(B225^0.59)*$Z$45)/(86.4*I$13)</f>
        <v>123.53129985396784</v>
      </c>
      <c r="H225" s="74">
        <f t="shared" si="80"/>
        <v>4.7660613851501425</v>
      </c>
      <c r="I225" s="22">
        <f t="shared" si="81"/>
        <v>4.334864898163316E-2</v>
      </c>
      <c r="J225" s="32">
        <v>4.7</v>
      </c>
      <c r="K225" s="22" t="s">
        <v>72</v>
      </c>
      <c r="L225" s="10">
        <f>EXP(1)</f>
        <v>2.7182818284590451</v>
      </c>
      <c r="M225" s="22">
        <f t="shared" si="83"/>
        <v>112.1536507130871</v>
      </c>
      <c r="N225" s="10">
        <f t="shared" si="82"/>
        <v>2.1321986827583097</v>
      </c>
      <c r="O225" s="22"/>
      <c r="P225" s="22"/>
      <c r="Q225" s="89">
        <v>52.6</v>
      </c>
      <c r="R225" s="89"/>
      <c r="S225" s="10"/>
      <c r="T225" s="10"/>
      <c r="U225" s="10"/>
    </row>
    <row r="226" spans="1:21" x14ac:dyDescent="0.25">
      <c r="A226" s="22" t="s">
        <v>3</v>
      </c>
      <c r="B226" s="10">
        <v>77.2</v>
      </c>
      <c r="C226" s="10"/>
      <c r="D226" s="58">
        <v>6.08</v>
      </c>
      <c r="E226" s="10"/>
      <c r="F226" s="10"/>
      <c r="G226" s="74">
        <f>(5.01*(B226^0.59)*$Z$45)/(86.4*I$14)</f>
        <v>87.612894839663326</v>
      </c>
      <c r="H226" s="74">
        <f t="shared" si="80"/>
        <v>59.483628846692099</v>
      </c>
      <c r="I226" s="22">
        <f t="shared" si="81"/>
        <v>0.5410200873750961</v>
      </c>
      <c r="J226" s="32">
        <v>4.7</v>
      </c>
      <c r="K226" s="22"/>
      <c r="L226" s="22"/>
      <c r="M226" s="22">
        <f t="shared" si="83"/>
        <v>43.253650713087119</v>
      </c>
      <c r="N226" s="10">
        <f t="shared" si="82"/>
        <v>0.65935443160193785</v>
      </c>
      <c r="O226" s="22"/>
      <c r="P226" s="22"/>
      <c r="Q226" s="89">
        <v>65.599999999999994</v>
      </c>
      <c r="R226" s="89"/>
      <c r="S226" s="10"/>
      <c r="T226" s="10"/>
      <c r="U226" s="10"/>
    </row>
    <row r="227" spans="1:21" x14ac:dyDescent="0.25">
      <c r="A227" s="22" t="s">
        <v>4</v>
      </c>
      <c r="B227" s="10">
        <v>113.7</v>
      </c>
      <c r="C227" s="10"/>
      <c r="D227" s="70">
        <v>6743</v>
      </c>
      <c r="E227" s="10"/>
      <c r="F227" s="10"/>
      <c r="G227" s="74">
        <f>(5.01*(B227^0.59)*$Z$45)/(86.4*I$15)</f>
        <v>106.54475082697662</v>
      </c>
      <c r="H227" s="74">
        <f t="shared" si="80"/>
        <v>22.122539737337565</v>
      </c>
      <c r="I227" s="22">
        <f t="shared" si="81"/>
        <v>0.20121062910436388</v>
      </c>
      <c r="J227" s="32">
        <v>4.7</v>
      </c>
      <c r="K227" s="22" t="s">
        <v>77</v>
      </c>
      <c r="L227" s="22">
        <v>86400</v>
      </c>
      <c r="M227" s="22">
        <f t="shared" si="83"/>
        <v>79.753650713087126</v>
      </c>
      <c r="N227" s="10">
        <f t="shared" si="82"/>
        <v>1.236490708730033</v>
      </c>
      <c r="O227" s="22"/>
      <c r="P227" s="22"/>
      <c r="Q227" s="89">
        <v>64.5</v>
      </c>
      <c r="R227" s="89"/>
      <c r="S227" s="10"/>
      <c r="T227" s="10"/>
      <c r="U227" s="10"/>
    </row>
    <row r="228" spans="1:21" x14ac:dyDescent="0.25">
      <c r="A228" s="22" t="s">
        <v>5</v>
      </c>
      <c r="B228" s="10">
        <v>28</v>
      </c>
      <c r="C228" s="10"/>
      <c r="D228" s="70">
        <v>3716</v>
      </c>
      <c r="E228" s="10"/>
      <c r="F228" s="10"/>
      <c r="G228" s="74">
        <f>(5.01*(B228^0.59)*$Z$45)/(86.4*I$16)</f>
        <v>48.161173617151675</v>
      </c>
      <c r="H228" s="74">
        <f t="shared" si="80"/>
        <v>98.515530717664518</v>
      </c>
      <c r="I228" s="22">
        <f t="shared" si="81"/>
        <v>1.9941426488234055</v>
      </c>
      <c r="J228" s="32">
        <v>3.9</v>
      </c>
      <c r="K228" s="22" t="s">
        <v>78</v>
      </c>
      <c r="L228" s="22">
        <f>L227*15</f>
        <v>1296000</v>
      </c>
      <c r="M228" s="22">
        <f t="shared" si="83"/>
        <v>-5.9463492869128842</v>
      </c>
      <c r="N228" s="10">
        <f t="shared" si="82"/>
        <v>-0.10182104943343979</v>
      </c>
      <c r="O228" s="22" t="s">
        <v>67</v>
      </c>
      <c r="P228" s="22">
        <v>0.65</v>
      </c>
      <c r="Q228" s="89">
        <v>58.4</v>
      </c>
      <c r="R228" s="89"/>
      <c r="S228" s="10"/>
      <c r="T228" s="10"/>
      <c r="U228" s="10"/>
    </row>
    <row r="229" spans="1:21" x14ac:dyDescent="0.25">
      <c r="A229" s="22" t="s">
        <v>6</v>
      </c>
      <c r="B229" s="10">
        <v>18.5</v>
      </c>
      <c r="C229" s="10"/>
      <c r="D229" s="70">
        <v>2088</v>
      </c>
      <c r="E229" s="10"/>
      <c r="F229" s="10"/>
      <c r="G229" s="74">
        <f>(5.01*(B229^0.59)*$Z$45)/(86.4*I$17)</f>
        <v>36.497633319841199</v>
      </c>
      <c r="H229" s="74">
        <f t="shared" si="80"/>
        <v>29.327100226180356</v>
      </c>
      <c r="I229" s="22">
        <f t="shared" si="81"/>
        <v>2.6604945084325737</v>
      </c>
      <c r="J229" s="32">
        <v>2.4</v>
      </c>
      <c r="K229" s="22"/>
      <c r="L229" s="22"/>
      <c r="M229" s="22">
        <f t="shared" si="83"/>
        <v>-15.446349286912884</v>
      </c>
      <c r="N229" s="10">
        <f t="shared" si="82"/>
        <v>-0.27004107144952594</v>
      </c>
      <c r="O229" s="22" t="s">
        <v>68</v>
      </c>
      <c r="P229" s="22">
        <v>0.45</v>
      </c>
      <c r="Q229" s="89">
        <v>57.2</v>
      </c>
      <c r="R229" s="89"/>
      <c r="S229" s="10"/>
      <c r="T229" s="10"/>
      <c r="U229" s="10"/>
    </row>
    <row r="230" spans="1:21" x14ac:dyDescent="0.25">
      <c r="A230" s="22" t="s">
        <v>7</v>
      </c>
      <c r="B230" s="10">
        <v>2.5</v>
      </c>
      <c r="C230" s="10"/>
      <c r="D230" s="58">
        <v>0.872</v>
      </c>
      <c r="E230" s="10"/>
      <c r="F230" s="10"/>
      <c r="G230" s="74">
        <f>(5.01*(B230^0.59)*$Z$45)/(86.4*I$18)</f>
        <v>11.205158109907218</v>
      </c>
      <c r="H230" s="74">
        <f t="shared" si="80"/>
        <v>13.038263292782235</v>
      </c>
      <c r="I230" s="22">
        <f t="shared" si="81"/>
        <v>4.3400608318093541</v>
      </c>
      <c r="J230" s="32">
        <v>1.1000000000000001</v>
      </c>
      <c r="K230" s="22"/>
      <c r="L230" s="22"/>
      <c r="M230" s="22">
        <f t="shared" si="83"/>
        <v>-31.446349286912884</v>
      </c>
      <c r="N230" s="10">
        <f t="shared" si="82"/>
        <v>-0.55558921001612871</v>
      </c>
      <c r="O230" s="22" t="s">
        <v>69</v>
      </c>
      <c r="P230" s="22">
        <f>-1+(EXP(1)*(0.5*P231))</f>
        <v>3.0774227426885679</v>
      </c>
      <c r="Q230" s="89">
        <v>56.6</v>
      </c>
      <c r="R230" s="89"/>
      <c r="S230" s="10"/>
      <c r="T230" s="10"/>
      <c r="U230" s="10"/>
    </row>
    <row r="231" spans="1:21" x14ac:dyDescent="0.25">
      <c r="A231" s="22" t="s">
        <v>8</v>
      </c>
      <c r="B231" s="10">
        <v>51.9</v>
      </c>
      <c r="C231" s="10"/>
      <c r="D231" s="70">
        <v>3345</v>
      </c>
      <c r="E231" s="10"/>
      <c r="F231" s="10"/>
      <c r="G231" s="74">
        <f>(5.01*(B231^0.59)*$Z$45)/(86.4*I$19)</f>
        <v>69.314255702175686</v>
      </c>
      <c r="H231" s="74">
        <f t="shared" si="80"/>
        <v>2.8785506638083231</v>
      </c>
      <c r="I231" s="22">
        <f t="shared" si="81"/>
        <v>0.95818627894171127</v>
      </c>
      <c r="J231" s="32">
        <v>1.1000000000000001</v>
      </c>
      <c r="K231" s="22"/>
      <c r="L231" s="22"/>
      <c r="M231" s="22">
        <f t="shared" si="83"/>
        <v>17.953650713087114</v>
      </c>
      <c r="N231" s="10">
        <f t="shared" si="82"/>
        <v>0.32583758099976612</v>
      </c>
      <c r="O231" s="22" t="s">
        <v>74</v>
      </c>
      <c r="P231" s="22">
        <v>3</v>
      </c>
      <c r="Q231" s="89">
        <v>55.1</v>
      </c>
      <c r="R231" s="89"/>
      <c r="S231" s="10"/>
      <c r="T231" s="10"/>
      <c r="U231" s="10"/>
    </row>
    <row r="232" spans="1:21" ht="18.75" x14ac:dyDescent="0.3">
      <c r="A232" s="22" t="s">
        <v>9</v>
      </c>
      <c r="B232" s="10">
        <v>23.6</v>
      </c>
      <c r="C232" s="10"/>
      <c r="D232" s="70">
        <v>2675</v>
      </c>
      <c r="E232" s="10"/>
      <c r="F232" s="10"/>
      <c r="G232" s="74">
        <f>(5.01*(B232^0.59)*$Z$45)/(86.4*I$20)</f>
        <v>42.135821508983675</v>
      </c>
      <c r="H232" s="74">
        <f t="shared" si="80"/>
        <v>25.02456561751864</v>
      </c>
      <c r="I232" s="22">
        <f t="shared" si="81"/>
        <v>2.2701773747779148</v>
      </c>
      <c r="J232" s="32">
        <v>2.4</v>
      </c>
      <c r="K232" s="22"/>
      <c r="L232" s="22"/>
      <c r="M232" s="22">
        <f t="shared" si="83"/>
        <v>-10.346349286912883</v>
      </c>
      <c r="N232" s="10">
        <f t="shared" si="82"/>
        <v>-0.1774673977172021</v>
      </c>
      <c r="O232" s="45" t="s">
        <v>75</v>
      </c>
      <c r="P232" s="10"/>
      <c r="Q232" s="89">
        <v>58.3</v>
      </c>
      <c r="R232" s="89"/>
      <c r="S232" s="10"/>
      <c r="T232" s="10"/>
      <c r="U232" s="10"/>
    </row>
    <row r="233" spans="1:21" x14ac:dyDescent="0.25">
      <c r="A233" s="22" t="s">
        <v>10</v>
      </c>
      <c r="B233" s="10">
        <v>122.6</v>
      </c>
      <c r="C233" s="10"/>
      <c r="D233" s="70">
        <v>6436</v>
      </c>
      <c r="E233" s="10"/>
      <c r="F233" s="10"/>
      <c r="G233" s="74">
        <f>(5.01*(B233^0.59)*$Z$45)/(86.4*I$21)</f>
        <v>115.10208758367</v>
      </c>
      <c r="H233" s="74">
        <f t="shared" si="80"/>
        <v>6.354910757293494</v>
      </c>
      <c r="I233" s="22">
        <f t="shared" si="81"/>
        <v>0.12863554079512571</v>
      </c>
      <c r="J233" s="32">
        <v>3.9</v>
      </c>
      <c r="K233" s="22"/>
      <c r="L233" s="22"/>
      <c r="M233" s="22">
        <f t="shared" si="83"/>
        <v>88.653650713087103</v>
      </c>
      <c r="N233" s="10">
        <f t="shared" si="82"/>
        <v>1.4975278836670118</v>
      </c>
      <c r="O233" s="10"/>
      <c r="P233" s="22"/>
      <c r="Q233" s="89">
        <v>59.2</v>
      </c>
      <c r="R233" s="89"/>
      <c r="S233" s="10"/>
      <c r="T233" s="10"/>
      <c r="U233" s="10"/>
    </row>
    <row r="234" spans="1:21" x14ac:dyDescent="0.25">
      <c r="A234" s="22" t="s">
        <v>11</v>
      </c>
      <c r="B234" s="10">
        <v>60.6</v>
      </c>
      <c r="C234" s="10"/>
      <c r="D234" s="70">
        <v>5187</v>
      </c>
      <c r="E234" s="10"/>
      <c r="F234" s="10"/>
      <c r="G234" s="74">
        <f>(5.01*(B234^0.59)*$Z$45)/(86.4*I$22)</f>
        <v>73.50082810710056</v>
      </c>
      <c r="H234" s="74">
        <f t="shared" si="80"/>
        <v>40.299994092289644</v>
      </c>
      <c r="I234" s="22">
        <f t="shared" si="81"/>
        <v>0.81574891168257457</v>
      </c>
      <c r="J234" s="32">
        <v>3.9</v>
      </c>
      <c r="K234" s="22"/>
      <c r="L234" s="22"/>
      <c r="M234" s="22">
        <f t="shared" si="83"/>
        <v>26.653650713087117</v>
      </c>
      <c r="N234" s="10">
        <f t="shared" si="82"/>
        <v>0.41974253091475777</v>
      </c>
      <c r="O234" s="22"/>
      <c r="P234" s="22"/>
      <c r="Q234" s="89">
        <v>63.5</v>
      </c>
      <c r="R234" s="89"/>
      <c r="S234" s="10"/>
      <c r="T234" s="10"/>
      <c r="U234" s="10"/>
    </row>
    <row r="235" spans="1:21" x14ac:dyDescent="0.25">
      <c r="A235" s="22" t="s">
        <v>12</v>
      </c>
      <c r="B235" s="22">
        <v>1992</v>
      </c>
      <c r="C235" s="22">
        <v>1992</v>
      </c>
      <c r="D235" s="56">
        <v>1992</v>
      </c>
      <c r="E235" s="22">
        <v>1992</v>
      </c>
      <c r="F235" s="22">
        <v>1992</v>
      </c>
      <c r="G235" s="56">
        <v>1992</v>
      </c>
      <c r="H235" s="56">
        <v>1992</v>
      </c>
      <c r="I235" s="22">
        <v>1992</v>
      </c>
      <c r="J235" s="47" t="s">
        <v>70</v>
      </c>
      <c r="K235" s="49" t="s">
        <v>61</v>
      </c>
      <c r="L235" s="49" t="s">
        <v>62</v>
      </c>
      <c r="M235" s="39" t="s">
        <v>60</v>
      </c>
      <c r="N235" s="39" t="s">
        <v>73</v>
      </c>
      <c r="O235" s="105" t="s">
        <v>57</v>
      </c>
      <c r="P235" s="105"/>
      <c r="Q235" s="10"/>
      <c r="R235" s="10"/>
      <c r="S235" s="10"/>
      <c r="T235" s="10"/>
      <c r="U235" s="10"/>
    </row>
    <row r="236" spans="1:21" x14ac:dyDescent="0.25">
      <c r="A236" s="22" t="s">
        <v>0</v>
      </c>
      <c r="B236" s="10">
        <v>52.5</v>
      </c>
      <c r="C236" s="10"/>
      <c r="D236" s="70">
        <v>4165</v>
      </c>
      <c r="E236" s="10"/>
      <c r="F236" s="10"/>
      <c r="G236" s="74">
        <f>(5.01*(B236^0.59)*$Z$45)/(86.4*I$11)</f>
        <v>67.534761875658674</v>
      </c>
      <c r="H236" s="74">
        <f t="shared" ref="H236:H247" si="84">L$30^(J236-(0.6458446*LN(P$34))-(9.53942*N236*(P$34/P$33))+(4.8904*N236))</f>
        <v>81.867918442254606</v>
      </c>
      <c r="I236" s="22">
        <f t="shared" ref="I236:I247" si="85">L$30^(K$28-(0.6458446*LN(P$34))-(9.53942*N236*(P$34/P$33))+(4.8904*N236))</f>
        <v>0.7446114039713454</v>
      </c>
      <c r="J236" s="32">
        <v>4.7</v>
      </c>
      <c r="K236" s="22">
        <f>(10^-8)*((P243/P242)^-7.2474)</f>
        <v>8.8839224002565862E-15</v>
      </c>
      <c r="L236" s="22">
        <f>(-3.2951*(P242/P241))+5.33</f>
        <v>3.0487769230769231</v>
      </c>
      <c r="M236" s="22">
        <f>(B236-(0.74*P$237))</f>
        <v>30.933083290990961</v>
      </c>
      <c r="N236" s="10">
        <f t="shared" ref="N236:N247" si="86">M236/Q236</f>
        <v>0.47298292493869964</v>
      </c>
      <c r="O236" s="22" t="s">
        <v>58</v>
      </c>
      <c r="P236" s="22">
        <f>(B236+B237+B238+B239+B240+B241+B242+B243+B244+B245+B246+B247)/12</f>
        <v>51.108333333333348</v>
      </c>
      <c r="Q236" s="89">
        <v>65.400000000000006</v>
      </c>
      <c r="R236" s="89"/>
      <c r="S236" s="10"/>
      <c r="T236" s="10"/>
      <c r="U236" s="10"/>
    </row>
    <row r="237" spans="1:21" x14ac:dyDescent="0.25">
      <c r="A237" s="22" t="s">
        <v>1</v>
      </c>
      <c r="B237" s="10">
        <v>53.7</v>
      </c>
      <c r="C237" s="10"/>
      <c r="D237" s="70">
        <v>4141</v>
      </c>
      <c r="E237" s="10"/>
      <c r="F237" s="10"/>
      <c r="G237" s="74">
        <f>(5.01*(B237^0.59)*$Z$45)/(86.4*J$12)</f>
        <v>73.161383313134863</v>
      </c>
      <c r="H237" s="74">
        <f t="shared" si="84"/>
        <v>72.978406562388273</v>
      </c>
      <c r="I237" s="22">
        <f t="shared" si="85"/>
        <v>0.66375883012514381</v>
      </c>
      <c r="J237" s="32">
        <v>4.7</v>
      </c>
      <c r="K237" s="22"/>
      <c r="L237" s="22"/>
      <c r="M237" s="22">
        <f t="shared" ref="M237:M247" si="87">(B237-(0.74*P$237))</f>
        <v>32.133083290990967</v>
      </c>
      <c r="N237" s="10">
        <f t="shared" si="86"/>
        <v>0.54005182001665486</v>
      </c>
      <c r="O237" s="22" t="s">
        <v>66</v>
      </c>
      <c r="P237" s="22">
        <f>((((B236-P236)^2+(B237-P236)^2+(B238-P236)^2+(B239-P236)^2+(B240-P236)^2+(B241-P236)^2+(B242-P236)^2+(B243-P236)^2+(B244-P236)^2+(B245-P236)^2+(B246-P236)^2+(B247-P236)^2))/(12-1))^0.5</f>
        <v>29.144482039201407</v>
      </c>
      <c r="Q237" s="89">
        <v>59.5</v>
      </c>
      <c r="R237" s="89"/>
      <c r="S237" s="10"/>
      <c r="T237" s="10"/>
      <c r="U237" s="10"/>
    </row>
    <row r="238" spans="1:21" x14ac:dyDescent="0.25">
      <c r="A238" s="22" t="s">
        <v>2</v>
      </c>
      <c r="B238" s="10">
        <v>78.599999999999994</v>
      </c>
      <c r="C238" s="10"/>
      <c r="D238" s="70">
        <v>5319</v>
      </c>
      <c r="E238" s="10"/>
      <c r="F238" s="10"/>
      <c r="G238" s="74">
        <f>(5.01*(B238^0.59)*$Z$45)/(86.4*I$13)</f>
        <v>85.690501801244039</v>
      </c>
      <c r="H238" s="74">
        <f t="shared" si="84"/>
        <v>28.71613796773871</v>
      </c>
      <c r="I238" s="22">
        <f t="shared" si="85"/>
        <v>0.26118123210711403</v>
      </c>
      <c r="J238" s="32">
        <v>4.7</v>
      </c>
      <c r="K238" s="22" t="s">
        <v>72</v>
      </c>
      <c r="L238" s="10">
        <f>EXP(1)</f>
        <v>2.7182818284590451</v>
      </c>
      <c r="M238" s="22">
        <f t="shared" si="87"/>
        <v>57.033083290990959</v>
      </c>
      <c r="N238" s="10">
        <f t="shared" si="86"/>
        <v>1.0842791500188396</v>
      </c>
      <c r="O238" s="22"/>
      <c r="P238" s="22"/>
      <c r="Q238" s="89">
        <v>52.6</v>
      </c>
      <c r="R238" s="89"/>
      <c r="S238" s="10"/>
      <c r="T238" s="10"/>
      <c r="U238" s="10"/>
    </row>
    <row r="239" spans="1:21" x14ac:dyDescent="0.25">
      <c r="A239" s="22" t="s">
        <v>3</v>
      </c>
      <c r="B239" s="10">
        <v>75.400000000000006</v>
      </c>
      <c r="C239" s="10"/>
      <c r="D239" s="70">
        <v>5278</v>
      </c>
      <c r="E239" s="10"/>
      <c r="F239" s="10"/>
      <c r="G239" s="74">
        <f>(5.01*(B239^0.59)*$Z$45)/(86.4*I$14)</f>
        <v>86.401825243071613</v>
      </c>
      <c r="H239" s="74">
        <f t="shared" si="84"/>
        <v>45.119350862154185</v>
      </c>
      <c r="I239" s="22">
        <f t="shared" si="85"/>
        <v>0.41037299873993399</v>
      </c>
      <c r="J239" s="32">
        <v>4.7</v>
      </c>
      <c r="K239" s="22"/>
      <c r="L239" s="22"/>
      <c r="M239" s="22">
        <f t="shared" si="87"/>
        <v>53.83308329099097</v>
      </c>
      <c r="N239" s="10">
        <f t="shared" si="86"/>
        <v>0.82062626967974051</v>
      </c>
      <c r="O239" s="22"/>
      <c r="P239" s="22"/>
      <c r="Q239" s="89">
        <v>65.599999999999994</v>
      </c>
      <c r="R239" s="89"/>
      <c r="S239" s="10"/>
      <c r="T239" s="10"/>
      <c r="U239" s="10"/>
    </row>
    <row r="240" spans="1:21" x14ac:dyDescent="0.25">
      <c r="A240" s="22" t="s">
        <v>4</v>
      </c>
      <c r="B240" s="10">
        <v>67.7</v>
      </c>
      <c r="C240" s="10"/>
      <c r="D240" s="70">
        <v>4942</v>
      </c>
      <c r="E240" s="10"/>
      <c r="F240" s="10"/>
      <c r="G240" s="74">
        <f>(5.01*(B240^0.59)*$Z$45)/(86.4*I$15)</f>
        <v>78.465852657522163</v>
      </c>
      <c r="H240" s="74">
        <f t="shared" si="84"/>
        <v>54.050615078043577</v>
      </c>
      <c r="I240" s="22">
        <f t="shared" si="85"/>
        <v>0.49160532165190873</v>
      </c>
      <c r="J240" s="32">
        <v>4.7</v>
      </c>
      <c r="K240" s="22" t="s">
        <v>77</v>
      </c>
      <c r="L240" s="22">
        <v>86400</v>
      </c>
      <c r="M240" s="22">
        <f t="shared" si="87"/>
        <v>46.133083290990967</v>
      </c>
      <c r="N240" s="10">
        <f t="shared" si="86"/>
        <v>0.71524160141071269</v>
      </c>
      <c r="O240" s="22"/>
      <c r="P240" s="22"/>
      <c r="Q240" s="89">
        <v>64.5</v>
      </c>
      <c r="R240" s="89"/>
      <c r="S240" s="10"/>
      <c r="T240" s="10"/>
      <c r="U240" s="10"/>
    </row>
    <row r="241" spans="1:21" x14ac:dyDescent="0.25">
      <c r="A241" s="22" t="s">
        <v>5</v>
      </c>
      <c r="B241" s="10">
        <v>6.9</v>
      </c>
      <c r="C241" s="10"/>
      <c r="D241" s="70">
        <v>1981</v>
      </c>
      <c r="E241" s="10"/>
      <c r="F241" s="10"/>
      <c r="G241" s="74">
        <f>(5.01*(B241^0.59)*$Z$45)/(86.4*I$16)</f>
        <v>21.076320132666776</v>
      </c>
      <c r="H241" s="74">
        <f t="shared" si="84"/>
        <v>127.24687427488138</v>
      </c>
      <c r="I241" s="22">
        <f t="shared" si="85"/>
        <v>2.5757199608275787</v>
      </c>
      <c r="J241" s="32">
        <v>3.9</v>
      </c>
      <c r="K241" s="22" t="s">
        <v>78</v>
      </c>
      <c r="L241" s="22">
        <f>L240*15</f>
        <v>1296000</v>
      </c>
      <c r="M241" s="22">
        <f t="shared" si="87"/>
        <v>-14.666916709009039</v>
      </c>
      <c r="N241" s="10">
        <f t="shared" si="86"/>
        <v>-0.25114583405837393</v>
      </c>
      <c r="O241" s="22" t="s">
        <v>67</v>
      </c>
      <c r="P241" s="22">
        <v>0.65</v>
      </c>
      <c r="Q241" s="89">
        <v>58.4</v>
      </c>
      <c r="R241" s="89"/>
      <c r="S241" s="10"/>
      <c r="T241" s="10"/>
      <c r="U241" s="10"/>
    </row>
    <row r="242" spans="1:21" x14ac:dyDescent="0.25">
      <c r="A242" s="22" t="s">
        <v>6</v>
      </c>
      <c r="B242" s="10">
        <v>11.6</v>
      </c>
      <c r="C242" s="10"/>
      <c r="D242" s="70">
        <v>1281</v>
      </c>
      <c r="E242" s="10"/>
      <c r="F242" s="10"/>
      <c r="G242" s="74">
        <f>(5.01*(B242^0.59)*$Z$45)/(86.4*I$17)</f>
        <v>27.711727357118217</v>
      </c>
      <c r="H242" s="74">
        <f t="shared" si="84"/>
        <v>24.886822701832934</v>
      </c>
      <c r="I242" s="22">
        <f t="shared" si="85"/>
        <v>2.257681619386791</v>
      </c>
      <c r="J242" s="32">
        <v>2.4</v>
      </c>
      <c r="K242" s="22"/>
      <c r="L242" s="22"/>
      <c r="M242" s="22">
        <f t="shared" si="87"/>
        <v>-9.9669167090090394</v>
      </c>
      <c r="N242" s="10">
        <f t="shared" si="86"/>
        <v>-0.17424679561204615</v>
      </c>
      <c r="O242" s="22" t="s">
        <v>68</v>
      </c>
      <c r="P242" s="22">
        <v>0.45</v>
      </c>
      <c r="Q242" s="89">
        <v>57.2</v>
      </c>
      <c r="R242" s="89"/>
      <c r="S242" s="10"/>
      <c r="T242" s="10"/>
      <c r="U242" s="10"/>
    </row>
    <row r="243" spans="1:21" x14ac:dyDescent="0.25">
      <c r="A243" s="22" t="s">
        <v>7</v>
      </c>
      <c r="B243" s="10">
        <v>6.3</v>
      </c>
      <c r="C243" s="10"/>
      <c r="D243" s="58">
        <v>0.99299999999999999</v>
      </c>
      <c r="E243" s="10"/>
      <c r="F243" s="10"/>
      <c r="G243" s="74">
        <f>(5.01*(B243^0.59)*$Z$45)/(86.4*I$18)</f>
        <v>19.33055432447</v>
      </c>
      <c r="H243" s="74">
        <f t="shared" si="84"/>
        <v>7.9883554229362161</v>
      </c>
      <c r="I243" s="22">
        <f t="shared" si="85"/>
        <v>2.659092526598231</v>
      </c>
      <c r="J243" s="32">
        <v>1.1000000000000001</v>
      </c>
      <c r="K243" s="22"/>
      <c r="L243" s="22"/>
      <c r="M243" s="22">
        <f t="shared" si="87"/>
        <v>-15.266916709009038</v>
      </c>
      <c r="N243" s="10">
        <f t="shared" si="86"/>
        <v>-0.269733510759877</v>
      </c>
      <c r="O243" s="22" t="s">
        <v>69</v>
      </c>
      <c r="P243" s="22">
        <f>-1+(EXP(1)*(0.5*P244))</f>
        <v>3.0774227426885679</v>
      </c>
      <c r="Q243" s="89">
        <v>56.6</v>
      </c>
      <c r="R243" s="89"/>
      <c r="S243" s="10"/>
      <c r="T243" s="10"/>
      <c r="U243" s="10"/>
    </row>
    <row r="244" spans="1:21" x14ac:dyDescent="0.25">
      <c r="A244" s="22" t="s">
        <v>8</v>
      </c>
      <c r="B244" s="10">
        <v>81.599999999999994</v>
      </c>
      <c r="C244" s="10"/>
      <c r="D244" s="70">
        <v>4766</v>
      </c>
      <c r="E244" s="10"/>
      <c r="F244" s="10"/>
      <c r="G244" s="74">
        <f>(5.01*(B244^0.59)*$Z$45)/(86.4*I$19)</f>
        <v>90.525517599694808</v>
      </c>
      <c r="H244" s="74">
        <f t="shared" si="84"/>
        <v>0.77760305031281562</v>
      </c>
      <c r="I244" s="22">
        <f t="shared" si="85"/>
        <v>0.25884157004456138</v>
      </c>
      <c r="J244" s="32">
        <v>1.1000000000000001</v>
      </c>
      <c r="K244" s="22"/>
      <c r="L244" s="22"/>
      <c r="M244" s="22">
        <f t="shared" si="87"/>
        <v>60.033083290990959</v>
      </c>
      <c r="N244" s="10">
        <f t="shared" si="86"/>
        <v>1.089529642304736</v>
      </c>
      <c r="O244" s="22" t="s">
        <v>74</v>
      </c>
      <c r="P244" s="22">
        <v>3</v>
      </c>
      <c r="Q244" s="89">
        <v>55.1</v>
      </c>
      <c r="R244" s="89"/>
      <c r="S244" s="10"/>
      <c r="T244" s="10"/>
      <c r="U244" s="10"/>
    </row>
    <row r="245" spans="1:21" ht="18.75" x14ac:dyDescent="0.3">
      <c r="A245" s="22" t="s">
        <v>9</v>
      </c>
      <c r="B245" s="10">
        <v>68.8</v>
      </c>
      <c r="C245" s="10"/>
      <c r="D245" s="70">
        <v>5102</v>
      </c>
      <c r="E245" s="10"/>
      <c r="F245" s="10"/>
      <c r="G245" s="74">
        <f>(5.01*(B245^0.59)*$Z$45)/(86.4*I$20)</f>
        <v>79.215571989131575</v>
      </c>
      <c r="H245" s="74">
        <f t="shared" si="84"/>
        <v>4.6053849271719454</v>
      </c>
      <c r="I245" s="22">
        <f t="shared" si="85"/>
        <v>0.41779109470295273</v>
      </c>
      <c r="J245" s="32">
        <v>2.4</v>
      </c>
      <c r="K245" s="22"/>
      <c r="L245" s="22"/>
      <c r="M245" s="22">
        <f t="shared" si="87"/>
        <v>47.233083290990962</v>
      </c>
      <c r="N245" s="10">
        <f t="shared" si="86"/>
        <v>0.81017295524855859</v>
      </c>
      <c r="O245" s="45" t="s">
        <v>75</v>
      </c>
      <c r="P245" s="10"/>
      <c r="Q245" s="89">
        <v>58.3</v>
      </c>
      <c r="R245" s="89"/>
      <c r="S245" s="10"/>
      <c r="T245" s="10"/>
      <c r="U245" s="10"/>
    </row>
    <row r="246" spans="1:21" x14ac:dyDescent="0.25">
      <c r="A246" s="22" t="s">
        <v>10</v>
      </c>
      <c r="B246" s="10">
        <v>76.5</v>
      </c>
      <c r="C246" s="10"/>
      <c r="D246" s="70">
        <v>5289</v>
      </c>
      <c r="E246" s="10"/>
      <c r="F246" s="10"/>
      <c r="G246" s="74">
        <f>(5.01*(B246^0.59)*$Z$45)/(86.4*I$21)</f>
        <v>87.143313581458827</v>
      </c>
      <c r="H246" s="74">
        <f t="shared" si="84"/>
        <v>16.868085272610916</v>
      </c>
      <c r="I246" s="22">
        <f t="shared" si="85"/>
        <v>0.34144228834847057</v>
      </c>
      <c r="J246" s="32">
        <v>3.9</v>
      </c>
      <c r="K246" s="22"/>
      <c r="L246" s="22"/>
      <c r="M246" s="22">
        <f t="shared" si="87"/>
        <v>54.933083290990965</v>
      </c>
      <c r="N246" s="10">
        <f t="shared" si="86"/>
        <v>0.92792370423971215</v>
      </c>
      <c r="O246" s="10"/>
      <c r="P246" s="22"/>
      <c r="Q246" s="89">
        <v>59.2</v>
      </c>
      <c r="R246" s="89"/>
      <c r="S246" s="10"/>
      <c r="T246" s="10"/>
      <c r="U246" s="10"/>
    </row>
    <row r="247" spans="1:21" x14ac:dyDescent="0.25">
      <c r="A247" s="22" t="s">
        <v>11</v>
      </c>
      <c r="B247" s="10">
        <v>33.700000000000003</v>
      </c>
      <c r="C247" s="10"/>
      <c r="D247" s="70">
        <v>3489</v>
      </c>
      <c r="E247" s="10"/>
      <c r="F247" s="10"/>
      <c r="G247" s="74">
        <f>(5.01*(B247^0.59)*$Z$45)/(86.4*I$22)</f>
        <v>51.991820599498205</v>
      </c>
      <c r="H247" s="74">
        <f t="shared" si="84"/>
        <v>59.635422794744315</v>
      </c>
      <c r="I247" s="22">
        <f t="shared" si="85"/>
        <v>1.2071349472443296</v>
      </c>
      <c r="J247" s="32">
        <v>3.9</v>
      </c>
      <c r="K247" s="22"/>
      <c r="L247" s="22"/>
      <c r="M247" s="22">
        <f t="shared" si="87"/>
        <v>12.133083290990964</v>
      </c>
      <c r="N247" s="10">
        <f t="shared" si="86"/>
        <v>0.19107217781088132</v>
      </c>
      <c r="O247" s="22"/>
      <c r="P247" s="22"/>
      <c r="Q247" s="89">
        <v>63.5</v>
      </c>
      <c r="R247" s="89"/>
      <c r="S247" s="10"/>
      <c r="T247" s="10"/>
      <c r="U247" s="10"/>
    </row>
    <row r="248" spans="1:21" x14ac:dyDescent="0.25">
      <c r="A248" s="22" t="s">
        <v>12</v>
      </c>
      <c r="B248" s="22">
        <v>1993</v>
      </c>
      <c r="C248" s="22">
        <v>1993</v>
      </c>
      <c r="D248" s="56">
        <v>1993</v>
      </c>
      <c r="E248" s="22">
        <v>1993</v>
      </c>
      <c r="F248" s="22">
        <v>1993</v>
      </c>
      <c r="G248" s="56">
        <v>1993</v>
      </c>
      <c r="H248" s="56">
        <v>1993</v>
      </c>
      <c r="I248" s="22">
        <v>1993</v>
      </c>
      <c r="J248" s="47" t="s">
        <v>70</v>
      </c>
      <c r="K248" s="49" t="s">
        <v>61</v>
      </c>
      <c r="L248" s="49" t="s">
        <v>62</v>
      </c>
      <c r="M248" s="39" t="s">
        <v>60</v>
      </c>
      <c r="N248" s="39" t="s">
        <v>73</v>
      </c>
      <c r="O248" s="105" t="s">
        <v>57</v>
      </c>
      <c r="P248" s="105"/>
      <c r="Q248" s="10"/>
      <c r="R248" s="10"/>
      <c r="S248" s="10"/>
      <c r="T248" s="10"/>
      <c r="U248" s="10"/>
    </row>
    <row r="249" spans="1:21" x14ac:dyDescent="0.25">
      <c r="A249" s="22" t="s">
        <v>0</v>
      </c>
      <c r="B249" s="10">
        <v>100.2</v>
      </c>
      <c r="C249" s="10"/>
      <c r="D249" s="70">
        <v>5731</v>
      </c>
      <c r="E249" s="10"/>
      <c r="F249" s="10"/>
      <c r="G249" s="74">
        <f>(5.01*(B249^0.59)*$Z$45)/(86.4*I$11)</f>
        <v>98.888397602017235</v>
      </c>
      <c r="H249" s="74">
        <f t="shared" ref="H249:H260" si="88">L$30^(J249-(0.6458446*LN(P$34))-(9.53942*N249*(P$34/P$33))+(4.8904*N249))</f>
        <v>57.040366927123536</v>
      </c>
      <c r="I249" s="22">
        <f t="shared" ref="I249:I260" si="89">L$30^(K$28-(0.6458446*LN(P$34))-(9.53942*N249*(P$34/P$33))+(4.8904*N249))</f>
        <v>0.51879794318459882</v>
      </c>
      <c r="J249" s="32">
        <v>4.7</v>
      </c>
      <c r="K249" s="22">
        <f>(10^-8)*((P256/P255)^-7.2474)</f>
        <v>8.8839224002565862E-15</v>
      </c>
      <c r="L249" s="22">
        <f>(-3.2951*(P255/P254))+5.33</f>
        <v>3.0487769230769231</v>
      </c>
      <c r="M249" s="22">
        <f>(B249-(0.74*P$250))</f>
        <v>44.722304643572244</v>
      </c>
      <c r="N249" s="10">
        <f t="shared" ref="N249:N260" si="90">M249/Q249</f>
        <v>0.68382728812801585</v>
      </c>
      <c r="O249" s="22" t="s">
        <v>58</v>
      </c>
      <c r="P249" s="22">
        <f>(B249+B250+B251+B252+B253+B254+B255+B256+B257+B258+B259+B260)/12</f>
        <v>96.983333333333334</v>
      </c>
      <c r="Q249" s="89">
        <v>65.400000000000006</v>
      </c>
      <c r="R249" s="89"/>
      <c r="S249" s="10"/>
      <c r="T249" s="10"/>
      <c r="U249" s="10"/>
    </row>
    <row r="250" spans="1:21" x14ac:dyDescent="0.25">
      <c r="A250" s="22" t="s">
        <v>1</v>
      </c>
      <c r="B250" s="10">
        <v>190.1</v>
      </c>
      <c r="C250" s="10"/>
      <c r="D250" s="70">
        <v>9483</v>
      </c>
      <c r="E250" s="10"/>
      <c r="F250" s="10"/>
      <c r="G250" s="74">
        <f>(5.01*(B250^0.59)*$Z$45)/(86.4*I$12)</f>
        <v>159.74839200583554</v>
      </c>
      <c r="H250" s="74">
        <f t="shared" si="88"/>
        <v>3.81181582551626</v>
      </c>
      <c r="I250" s="22">
        <f t="shared" si="89"/>
        <v>3.4669521193700106E-2</v>
      </c>
      <c r="J250" s="32">
        <v>4.7</v>
      </c>
      <c r="K250" s="22"/>
      <c r="L250" s="22"/>
      <c r="M250" s="22">
        <f t="shared" ref="M250:M260" si="91">(B250-(0.74*P$250))</f>
        <v>134.62230464357225</v>
      </c>
      <c r="N250" s="10">
        <f t="shared" si="90"/>
        <v>2.2625597419087775</v>
      </c>
      <c r="O250" s="22" t="s">
        <v>66</v>
      </c>
      <c r="P250" s="22">
        <f>((((B249-P249)^2+(B250-P249)^2+(B251-P249)^2+(B252-P249)^2+(B253-P249)^2+(B254-P249)^2+(B255-P249)^2+(B256-P249)^2+(B257-P249)^2+(B258-P249)^2+(B259-P249)^2+(B260-P249)^2))/(12-1))^0.5</f>
        <v>74.969858589767242</v>
      </c>
      <c r="Q250" s="89">
        <v>59.5</v>
      </c>
      <c r="R250" s="89"/>
      <c r="S250" s="10"/>
      <c r="T250" s="10"/>
      <c r="U250" s="10"/>
    </row>
    <row r="251" spans="1:21" x14ac:dyDescent="0.25">
      <c r="A251" s="22" t="s">
        <v>2</v>
      </c>
      <c r="B251" s="10">
        <v>205.4</v>
      </c>
      <c r="C251" s="10"/>
      <c r="D251" s="70">
        <v>10874</v>
      </c>
      <c r="E251" s="10"/>
      <c r="F251" s="10"/>
      <c r="G251" s="74">
        <f>(5.01*(B251^0.59)*$Z$45)/(86.4*I$13)</f>
        <v>151.03153733429016</v>
      </c>
      <c r="H251" s="74">
        <f t="shared" si="88"/>
        <v>1.3922783584534506</v>
      </c>
      <c r="I251" s="22">
        <f t="shared" si="89"/>
        <v>1.2663157472828408E-2</v>
      </c>
      <c r="J251" s="32">
        <v>4.7</v>
      </c>
      <c r="K251" s="22" t="s">
        <v>72</v>
      </c>
      <c r="L251" s="10">
        <f>EXP(1)</f>
        <v>2.7182818284590451</v>
      </c>
      <c r="M251" s="22">
        <f t="shared" si="91"/>
        <v>149.92230464357226</v>
      </c>
      <c r="N251" s="10">
        <f t="shared" si="90"/>
        <v>2.8502339285850238</v>
      </c>
      <c r="O251" s="22"/>
      <c r="P251" s="22"/>
      <c r="Q251" s="89">
        <v>52.6</v>
      </c>
      <c r="R251" s="89"/>
      <c r="S251" s="10"/>
      <c r="T251" s="10"/>
      <c r="U251" s="10"/>
    </row>
    <row r="252" spans="1:21" x14ac:dyDescent="0.25">
      <c r="A252" s="22" t="s">
        <v>3</v>
      </c>
      <c r="B252" s="10">
        <v>205.3</v>
      </c>
      <c r="C252" s="10"/>
      <c r="D252" s="70">
        <v>10887</v>
      </c>
      <c r="E252" s="10"/>
      <c r="F252" s="10"/>
      <c r="G252" s="74">
        <f>(5.01*(B252^0.59)*$Z$45)/(86.4*I$14)</f>
        <v>156.02108837461716</v>
      </c>
      <c r="H252" s="74">
        <f t="shared" si="88"/>
        <v>3.6750713665317281</v>
      </c>
      <c r="I252" s="22">
        <f t="shared" si="89"/>
        <v>3.34257924471143E-2</v>
      </c>
      <c r="J252" s="32">
        <v>4.7</v>
      </c>
      <c r="K252" s="22"/>
      <c r="L252" s="22"/>
      <c r="M252" s="22">
        <f t="shared" si="91"/>
        <v>149.82230464357224</v>
      </c>
      <c r="N252" s="10">
        <f t="shared" si="90"/>
        <v>2.2838765951764062</v>
      </c>
      <c r="O252" s="22"/>
      <c r="P252" s="22"/>
      <c r="Q252" s="89">
        <v>65.599999999999994</v>
      </c>
      <c r="R252" s="89"/>
      <c r="S252" s="10"/>
      <c r="T252" s="10"/>
      <c r="U252" s="10"/>
    </row>
    <row r="253" spans="1:21" x14ac:dyDescent="0.25">
      <c r="A253" s="22" t="s">
        <v>4</v>
      </c>
      <c r="B253" s="10">
        <v>88.7</v>
      </c>
      <c r="C253" s="10"/>
      <c r="D253" s="70">
        <v>7264</v>
      </c>
      <c r="E253" s="10"/>
      <c r="F253" s="10"/>
      <c r="G253" s="74">
        <f>(5.01*(B253^0.59)*$Z$45)/(86.4*I$15)</f>
        <v>92.025528357097144</v>
      </c>
      <c r="H253" s="74">
        <f t="shared" si="88"/>
        <v>76.170183226276961</v>
      </c>
      <c r="I253" s="22">
        <f t="shared" si="89"/>
        <v>0.69278892332993758</v>
      </c>
      <c r="J253" s="32">
        <v>4.7</v>
      </c>
      <c r="K253" s="22" t="s">
        <v>77</v>
      </c>
      <c r="L253" s="22">
        <v>86400</v>
      </c>
      <c r="M253" s="22">
        <f t="shared" si="91"/>
        <v>33.222304643572244</v>
      </c>
      <c r="N253" s="10">
        <f t="shared" si="90"/>
        <v>0.51507449059801924</v>
      </c>
      <c r="O253" s="22"/>
      <c r="P253" s="22"/>
      <c r="Q253" s="89">
        <v>64.5</v>
      </c>
      <c r="R253" s="89"/>
      <c r="S253" s="10"/>
      <c r="T253" s="10"/>
      <c r="U253" s="10"/>
    </row>
    <row r="254" spans="1:21" x14ac:dyDescent="0.25">
      <c r="A254" s="22" t="s">
        <v>5</v>
      </c>
      <c r="B254" s="10">
        <v>7</v>
      </c>
      <c r="C254" s="10"/>
      <c r="D254" s="70">
        <v>2309</v>
      </c>
      <c r="E254" s="10"/>
      <c r="F254" s="10"/>
      <c r="G254" s="74">
        <f>(5.01*(B254^0.59)*$Z$45)/(86.4*I$16)</f>
        <v>21.256006128367112</v>
      </c>
      <c r="H254" s="74">
        <f t="shared" si="88"/>
        <v>343.21068913405094</v>
      </c>
      <c r="I254" s="22">
        <f t="shared" si="89"/>
        <v>6.9472403767050173</v>
      </c>
      <c r="J254" s="32">
        <v>3.9</v>
      </c>
      <c r="K254" s="22" t="s">
        <v>78</v>
      </c>
      <c r="L254" s="22">
        <f>L253*15</f>
        <v>1296000</v>
      </c>
      <c r="M254" s="22">
        <f t="shared" si="91"/>
        <v>-48.477695356427759</v>
      </c>
      <c r="N254" s="10">
        <f t="shared" si="90"/>
        <v>-0.83009752322650276</v>
      </c>
      <c r="O254" s="22" t="s">
        <v>67</v>
      </c>
      <c r="P254" s="22">
        <v>0.65</v>
      </c>
      <c r="Q254" s="89">
        <v>58.4</v>
      </c>
      <c r="R254" s="89"/>
      <c r="S254" s="10"/>
      <c r="T254" s="10"/>
      <c r="U254" s="10"/>
    </row>
    <row r="255" spans="1:21" x14ac:dyDescent="0.25">
      <c r="A255" s="22" t="s">
        <v>6</v>
      </c>
      <c r="B255" s="10">
        <v>5</v>
      </c>
      <c r="C255" s="10"/>
      <c r="D255" s="58">
        <v>0.86199999999999999</v>
      </c>
      <c r="E255" s="10"/>
      <c r="F255" s="10"/>
      <c r="G255" s="74">
        <f>(5.01*(B255^0.59)*$Z$45)/(86.4*I$17)</f>
        <v>16.866527799164579</v>
      </c>
      <c r="H255" s="74">
        <f t="shared" si="88"/>
        <v>83.773230675915187</v>
      </c>
      <c r="I255" s="22">
        <f t="shared" si="89"/>
        <v>7.5997360273609242</v>
      </c>
      <c r="J255" s="32">
        <v>2.4</v>
      </c>
      <c r="K255" s="22"/>
      <c r="L255" s="22"/>
      <c r="M255" s="22">
        <f t="shared" si="91"/>
        <v>-50.477695356427759</v>
      </c>
      <c r="N255" s="10">
        <f t="shared" si="90"/>
        <v>-0.88247719154593984</v>
      </c>
      <c r="O255" s="22" t="s">
        <v>68</v>
      </c>
      <c r="P255" s="22">
        <v>0.45</v>
      </c>
      <c r="Q255" s="89">
        <v>57.2</v>
      </c>
      <c r="R255" s="89"/>
      <c r="S255" s="10"/>
      <c r="T255" s="10"/>
      <c r="U255" s="10"/>
    </row>
    <row r="256" spans="1:21" x14ac:dyDescent="0.25">
      <c r="A256" s="22" t="s">
        <v>7</v>
      </c>
      <c r="B256" s="10">
        <v>3.1</v>
      </c>
      <c r="C256" s="10"/>
      <c r="D256" s="58">
        <v>0.57799999999999996</v>
      </c>
      <c r="E256" s="10"/>
      <c r="F256" s="10"/>
      <c r="G256" s="74">
        <f>(5.01*(B256^0.59)*$Z$45)/(86.4*I$18)</f>
        <v>12.721454918852087</v>
      </c>
      <c r="H256" s="74">
        <f t="shared" si="88"/>
        <v>24.573703138173926</v>
      </c>
      <c r="I256" s="22">
        <f t="shared" si="89"/>
        <v>8.1798751940789209</v>
      </c>
      <c r="J256" s="32">
        <v>1.1000000000000001</v>
      </c>
      <c r="K256" s="22"/>
      <c r="L256" s="22"/>
      <c r="M256" s="22">
        <f t="shared" si="91"/>
        <v>-52.377695356427758</v>
      </c>
      <c r="N256" s="10">
        <f t="shared" si="90"/>
        <v>-0.92540097802875898</v>
      </c>
      <c r="O256" s="22" t="s">
        <v>69</v>
      </c>
      <c r="P256" s="22">
        <f>-1+(EXP(1)*(0.5*P257))</f>
        <v>3.0774227426885679</v>
      </c>
      <c r="Q256" s="89">
        <v>56.6</v>
      </c>
      <c r="R256" s="89"/>
      <c r="S256" s="10"/>
      <c r="T256" s="10"/>
      <c r="U256" s="10"/>
    </row>
    <row r="257" spans="1:21" x14ac:dyDescent="0.25">
      <c r="A257" s="22" t="s">
        <v>8</v>
      </c>
      <c r="B257" s="10">
        <v>85.6</v>
      </c>
      <c r="C257" s="10"/>
      <c r="D257" s="70">
        <v>4852</v>
      </c>
      <c r="E257" s="10"/>
      <c r="F257" s="10"/>
      <c r="G257" s="74">
        <f>(5.01*(B257^0.59)*$Z$45)/(86.4*I$19)</f>
        <v>93.117936660698703</v>
      </c>
      <c r="H257" s="74">
        <f t="shared" si="88"/>
        <v>1.9715041311232482</v>
      </c>
      <c r="I257" s="22">
        <f t="shared" si="89"/>
        <v>0.65625671664224206</v>
      </c>
      <c r="J257" s="32">
        <v>1.1000000000000001</v>
      </c>
      <c r="K257" s="22"/>
      <c r="L257" s="22"/>
      <c r="M257" s="22">
        <f t="shared" si="91"/>
        <v>30.122304643572235</v>
      </c>
      <c r="N257" s="10">
        <f t="shared" si="90"/>
        <v>0.54668429480167391</v>
      </c>
      <c r="O257" s="22" t="s">
        <v>74</v>
      </c>
      <c r="P257" s="22">
        <v>3</v>
      </c>
      <c r="Q257" s="89">
        <v>55.1</v>
      </c>
      <c r="R257" s="89"/>
      <c r="S257" s="10"/>
      <c r="T257" s="10"/>
      <c r="U257" s="10"/>
    </row>
    <row r="258" spans="1:21" ht="18.75" x14ac:dyDescent="0.3">
      <c r="A258" s="22" t="s">
        <v>9</v>
      </c>
      <c r="B258" s="10">
        <v>42.8</v>
      </c>
      <c r="C258" s="10"/>
      <c r="D258" s="70">
        <v>4062</v>
      </c>
      <c r="E258" s="10"/>
      <c r="F258" s="10"/>
      <c r="G258" s="74">
        <f>(5.01*(B258^0.59)*$Z$45)/(86.4*I$20)</f>
        <v>59.866684586616707</v>
      </c>
      <c r="H258" s="74">
        <f t="shared" si="88"/>
        <v>26.799716194722169</v>
      </c>
      <c r="I258" s="22">
        <f t="shared" si="89"/>
        <v>2.4312154019223398</v>
      </c>
      <c r="J258" s="32">
        <v>2.4</v>
      </c>
      <c r="K258" s="22"/>
      <c r="L258" s="22"/>
      <c r="M258" s="22">
        <f t="shared" si="91"/>
        <v>-12.677695356427762</v>
      </c>
      <c r="N258" s="10">
        <f t="shared" si="90"/>
        <v>-0.21745618107080211</v>
      </c>
      <c r="O258" s="45" t="s">
        <v>75</v>
      </c>
      <c r="P258" s="10"/>
      <c r="Q258" s="89">
        <v>58.3</v>
      </c>
      <c r="R258" s="89"/>
      <c r="S258" s="10"/>
      <c r="T258" s="10"/>
      <c r="U258" s="10"/>
    </row>
    <row r="259" spans="1:21" x14ac:dyDescent="0.25">
      <c r="A259" s="22" t="s">
        <v>10</v>
      </c>
      <c r="B259" s="10">
        <v>99.8</v>
      </c>
      <c r="C259" s="10"/>
      <c r="D259" s="70">
        <v>5834</v>
      </c>
      <c r="E259" s="10"/>
      <c r="F259" s="10"/>
      <c r="G259" s="74">
        <f>(5.01*(B259^0.59)*$Z$45)/(86.4*I$21)</f>
        <v>101.9438057025135</v>
      </c>
      <c r="H259" s="74">
        <f t="shared" si="88"/>
        <v>22.933546362464895</v>
      </c>
      <c r="I259" s="22">
        <f t="shared" si="89"/>
        <v>0.46421881460726816</v>
      </c>
      <c r="J259" s="32">
        <v>3.9</v>
      </c>
      <c r="K259" s="22"/>
      <c r="L259" s="22"/>
      <c r="M259" s="22">
        <f t="shared" si="91"/>
        <v>44.322304643572238</v>
      </c>
      <c r="N259" s="10">
        <f t="shared" si="90"/>
        <v>0.74868757843872025</v>
      </c>
      <c r="O259" s="10"/>
      <c r="P259" s="22"/>
      <c r="Q259" s="89">
        <v>59.2</v>
      </c>
      <c r="R259" s="89"/>
      <c r="S259" s="10"/>
      <c r="T259" s="10"/>
      <c r="U259" s="10"/>
    </row>
    <row r="260" spans="1:21" x14ac:dyDescent="0.25">
      <c r="A260" s="22" t="s">
        <v>11</v>
      </c>
      <c r="B260" s="10">
        <v>130.80000000000001</v>
      </c>
      <c r="C260" s="10"/>
      <c r="D260" s="70">
        <v>7509</v>
      </c>
      <c r="E260" s="10"/>
      <c r="F260" s="10"/>
      <c r="G260" s="74">
        <f>(5.01*(B260^0.59)*$Z$45)/(86.4*I$22)</f>
        <v>115.7262692915461</v>
      </c>
      <c r="H260" s="74">
        <f t="shared" si="88"/>
        <v>10.835454255093326</v>
      </c>
      <c r="I260" s="22">
        <f t="shared" si="89"/>
        <v>0.21933030550666552</v>
      </c>
      <c r="J260" s="32">
        <v>3.9</v>
      </c>
      <c r="K260" s="22"/>
      <c r="L260" s="22"/>
      <c r="M260" s="22">
        <f t="shared" si="91"/>
        <v>75.322304643572252</v>
      </c>
      <c r="N260" s="10">
        <f t="shared" si="90"/>
        <v>1.1861780258830277</v>
      </c>
      <c r="O260" s="22"/>
      <c r="P260" s="22"/>
      <c r="Q260" s="89">
        <v>63.5</v>
      </c>
      <c r="R260" s="89"/>
      <c r="S260" s="10"/>
      <c r="T260" s="10"/>
      <c r="U260" s="10"/>
    </row>
    <row r="261" spans="1:21" x14ac:dyDescent="0.25">
      <c r="A261" s="22" t="s">
        <v>12</v>
      </c>
      <c r="B261" s="22">
        <v>1994</v>
      </c>
      <c r="C261" s="22">
        <v>1994</v>
      </c>
      <c r="D261" s="56">
        <v>1994</v>
      </c>
      <c r="E261" s="22">
        <v>1994</v>
      </c>
      <c r="F261" s="22">
        <v>1994</v>
      </c>
      <c r="G261" s="56">
        <v>1994</v>
      </c>
      <c r="H261" s="56">
        <v>1994</v>
      </c>
      <c r="I261" s="22">
        <v>1994</v>
      </c>
      <c r="J261" s="47" t="s">
        <v>70</v>
      </c>
      <c r="K261" s="49" t="s">
        <v>61</v>
      </c>
      <c r="L261" s="49" t="s">
        <v>62</v>
      </c>
      <c r="M261" s="39" t="s">
        <v>60</v>
      </c>
      <c r="N261" s="39" t="s">
        <v>73</v>
      </c>
      <c r="O261" s="105" t="s">
        <v>57</v>
      </c>
      <c r="P261" s="105"/>
      <c r="Q261" s="10"/>
      <c r="R261" s="10"/>
      <c r="S261" s="10"/>
      <c r="T261" s="10"/>
      <c r="U261" s="10"/>
    </row>
    <row r="262" spans="1:21" x14ac:dyDescent="0.25">
      <c r="A262" s="22" t="s">
        <v>0</v>
      </c>
      <c r="B262" s="10">
        <v>189.2</v>
      </c>
      <c r="C262" s="10"/>
      <c r="D262" s="70">
        <v>9648</v>
      </c>
      <c r="E262" s="10"/>
      <c r="F262" s="10"/>
      <c r="G262" s="74">
        <f>(5.01*(B262^0.59)*$Z$45)/(86.4*I$11)</f>
        <v>143.88544086482179</v>
      </c>
      <c r="H262" s="74">
        <f t="shared" ref="H262:H273" si="92">L$30^(J262-(0.6458446*LN(P$34))-(9.53942*N262*(P$34/P$33))+(4.8904*N262))</f>
        <v>5.3294147738256656</v>
      </c>
      <c r="I262" s="22">
        <f t="shared" ref="I262:I273" si="93">L$30^(K$28-(0.6458446*LN(P$34))-(9.53942*N262*(P$34/P$33))+(4.8904*N262))</f>
        <v>4.8472504157816433E-2</v>
      </c>
      <c r="J262" s="32">
        <v>4.7</v>
      </c>
      <c r="K262" s="22">
        <f>(10^-8)*((P269/P268)^-7.2474)</f>
        <v>8.8839224002565862E-15</v>
      </c>
      <c r="L262" s="22">
        <f>(-3.2951*(P268/P267))+5.33</f>
        <v>3.0487769230769231</v>
      </c>
      <c r="M262" s="22">
        <f>(B262-(0.74*P$263))</f>
        <v>135.18245750712367</v>
      </c>
      <c r="N262" s="10">
        <f t="shared" ref="N262:N273" si="94">M262/Q262</f>
        <v>2.0670100536257441</v>
      </c>
      <c r="O262" s="22" t="s">
        <v>58</v>
      </c>
      <c r="P262" s="22">
        <f>(B262+B263+B264+B265+B266+B267+B268+B269+B270+B271+B272+B273)/12</f>
        <v>87.233333333333334</v>
      </c>
      <c r="Q262" s="89">
        <v>65.400000000000006</v>
      </c>
      <c r="R262" s="89"/>
      <c r="S262" s="10"/>
      <c r="T262" s="10"/>
      <c r="U262" s="10"/>
    </row>
    <row r="263" spans="1:21" x14ac:dyDescent="0.25">
      <c r="A263" s="22" t="s">
        <v>1</v>
      </c>
      <c r="B263" s="10">
        <v>126.6</v>
      </c>
      <c r="C263" s="10"/>
      <c r="D263" s="70">
        <v>8353</v>
      </c>
      <c r="E263" s="10"/>
      <c r="F263" s="10"/>
      <c r="G263" s="74">
        <f>(5.01*(B263^0.59)*$Z$45)/(86.4*I$12)</f>
        <v>125.68195648781688</v>
      </c>
      <c r="H263" s="74">
        <f t="shared" si="92"/>
        <v>22.76163042542586</v>
      </c>
      <c r="I263" s="22">
        <f t="shared" si="93"/>
        <v>0.20702333600564046</v>
      </c>
      <c r="J263" s="32">
        <v>4.7</v>
      </c>
      <c r="K263" s="22"/>
      <c r="L263" s="22"/>
      <c r="M263" s="22">
        <f t="shared" ref="M263:M273" si="95">(B263-(0.74*P$263))</f>
        <v>72.582457507123692</v>
      </c>
      <c r="N263" s="10">
        <f t="shared" si="94"/>
        <v>1.2198732354138435</v>
      </c>
      <c r="O263" s="22" t="s">
        <v>66</v>
      </c>
      <c r="P263" s="22">
        <f>((((B262-P262)^2+(B263-P262)^2+(B264-P262)^2+(B265-P262)^2+(B266-P262)^2+(B267-P262)^2+(B268-P262)^2+(B269-P262)^2+(B270-P262)^2+(B271-P262)^2+(B272-P262)^2+(B273-P262)^2))/(12-1))^0.5</f>
        <v>72.996679044427438</v>
      </c>
      <c r="Q263" s="89">
        <v>59.5</v>
      </c>
      <c r="R263" s="89"/>
      <c r="S263" s="10"/>
      <c r="T263" s="10"/>
      <c r="U263" s="10"/>
    </row>
    <row r="264" spans="1:21" x14ac:dyDescent="0.25">
      <c r="A264" s="22" t="s">
        <v>2</v>
      </c>
      <c r="B264" s="10">
        <v>215.6</v>
      </c>
      <c r="C264" s="10"/>
      <c r="D264" s="70">
        <v>10685</v>
      </c>
      <c r="E264" s="10"/>
      <c r="F264" s="10"/>
      <c r="G264" s="74">
        <f>(5.01*(B264^0.59)*$Z$45)/(86.4*I$13)</f>
        <v>155.41257285051026</v>
      </c>
      <c r="H264" s="74">
        <f t="shared" si="92"/>
        <v>0.9522099509790044</v>
      </c>
      <c r="I264" s="22">
        <f t="shared" si="93"/>
        <v>8.660613363146304E-3</v>
      </c>
      <c r="J264" s="32">
        <v>4.7</v>
      </c>
      <c r="K264" s="22" t="s">
        <v>72</v>
      </c>
      <c r="L264" s="10">
        <f>EXP(1)</f>
        <v>2.7182818284590451</v>
      </c>
      <c r="M264" s="22">
        <f t="shared" si="95"/>
        <v>161.58245750712371</v>
      </c>
      <c r="N264" s="10">
        <f t="shared" si="94"/>
        <v>3.0719098385384735</v>
      </c>
      <c r="O264" s="22"/>
      <c r="P264" s="22"/>
      <c r="Q264" s="89">
        <v>52.6</v>
      </c>
      <c r="R264" s="89"/>
      <c r="S264" s="10"/>
      <c r="T264" s="10"/>
      <c r="U264" s="10"/>
    </row>
    <row r="265" spans="1:21" x14ac:dyDescent="0.25">
      <c r="A265" s="22" t="s">
        <v>3</v>
      </c>
      <c r="B265" s="10">
        <v>135.6</v>
      </c>
      <c r="C265" s="10"/>
      <c r="D265" s="70">
        <v>8819</v>
      </c>
      <c r="E265" s="10"/>
      <c r="F265" s="10"/>
      <c r="G265" s="74">
        <f>(5.01*(B265^0.59)*$Z$45)/(86.4*I$14)</f>
        <v>122.15381635201824</v>
      </c>
      <c r="H265" s="74">
        <f t="shared" si="92"/>
        <v>21.853322330569696</v>
      </c>
      <c r="I265" s="22">
        <f t="shared" si="93"/>
        <v>0.19876202218921016</v>
      </c>
      <c r="J265" s="32">
        <v>4.7</v>
      </c>
      <c r="K265" s="22"/>
      <c r="L265" s="22"/>
      <c r="M265" s="22">
        <f t="shared" si="95"/>
        <v>81.582457507123692</v>
      </c>
      <c r="N265" s="10">
        <f t="shared" si="94"/>
        <v>1.2436350229744466</v>
      </c>
      <c r="O265" s="22"/>
      <c r="P265" s="22"/>
      <c r="Q265" s="89">
        <v>65.599999999999994</v>
      </c>
      <c r="R265" s="89"/>
      <c r="S265" s="10"/>
      <c r="T265" s="10"/>
      <c r="U265" s="10"/>
    </row>
    <row r="266" spans="1:21" x14ac:dyDescent="0.25">
      <c r="A266" s="22" t="s">
        <v>4</v>
      </c>
      <c r="B266" s="10">
        <v>62.1</v>
      </c>
      <c r="C266" s="10"/>
      <c r="D266" s="70">
        <v>5447</v>
      </c>
      <c r="E266" s="10"/>
      <c r="F266" s="10"/>
      <c r="G266" s="74">
        <f>(5.01*(B266^0.59)*$Z$45)/(86.4*I$15)</f>
        <v>74.568847001813182</v>
      </c>
      <c r="H266" s="74">
        <f t="shared" si="92"/>
        <v>148.55494158377596</v>
      </c>
      <c r="I266" s="22">
        <f t="shared" si="93"/>
        <v>1.3511483585306892</v>
      </c>
      <c r="J266" s="32">
        <v>4.7</v>
      </c>
      <c r="K266" s="22" t="s">
        <v>77</v>
      </c>
      <c r="L266" s="22">
        <v>86400</v>
      </c>
      <c r="M266" s="22">
        <f t="shared" si="95"/>
        <v>8.0824575071236993</v>
      </c>
      <c r="N266" s="10">
        <f t="shared" si="94"/>
        <v>0.1253094187150961</v>
      </c>
      <c r="O266" s="22"/>
      <c r="P266" s="22"/>
      <c r="Q266" s="89">
        <v>64.5</v>
      </c>
      <c r="R266" s="89"/>
      <c r="S266" s="10"/>
      <c r="T266" s="10"/>
      <c r="U266" s="10"/>
    </row>
    <row r="267" spans="1:21" x14ac:dyDescent="0.25">
      <c r="A267" s="22" t="s">
        <v>5</v>
      </c>
      <c r="B267" s="10">
        <v>1</v>
      </c>
      <c r="C267" s="10"/>
      <c r="D267" s="70">
        <v>1573</v>
      </c>
      <c r="E267" s="10"/>
      <c r="F267" s="10"/>
      <c r="G267" s="74">
        <f>(5.01*(B267^0.59)*$Z$45)/(86.4*I$16)</f>
        <v>6.7433208333333337</v>
      </c>
      <c r="H267" s="74">
        <f t="shared" si="92"/>
        <v>392.12138424072248</v>
      </c>
      <c r="I267" s="22">
        <f t="shared" si="93"/>
        <v>7.9372863358070092</v>
      </c>
      <c r="J267" s="32">
        <v>3.9</v>
      </c>
      <c r="K267" s="22" t="s">
        <v>78</v>
      </c>
      <c r="L267" s="22">
        <f>L266*15</f>
        <v>1296000</v>
      </c>
      <c r="M267" s="22">
        <f t="shared" si="95"/>
        <v>-53.017542492876302</v>
      </c>
      <c r="N267" s="10">
        <f t="shared" si="94"/>
        <v>-0.90783463172733392</v>
      </c>
      <c r="O267" s="22" t="s">
        <v>67</v>
      </c>
      <c r="P267" s="22">
        <v>0.65</v>
      </c>
      <c r="Q267" s="89">
        <v>58.4</v>
      </c>
      <c r="R267" s="89"/>
      <c r="S267" s="10"/>
      <c r="T267" s="10"/>
      <c r="U267" s="10"/>
    </row>
    <row r="268" spans="1:21" x14ac:dyDescent="0.25">
      <c r="A268" s="22" t="s">
        <v>6</v>
      </c>
      <c r="B268" s="10">
        <v>3.1</v>
      </c>
      <c r="C268" s="10"/>
      <c r="D268" s="58">
        <v>0.51900000000000002</v>
      </c>
      <c r="E268" s="10"/>
      <c r="F268" s="10"/>
      <c r="G268" s="74">
        <f>(5.01*(B268^0.59)*$Z$45)/(86.4*I$17)</f>
        <v>12.721454918852087</v>
      </c>
      <c r="H268" s="74">
        <f t="shared" si="92"/>
        <v>84.88455160060748</v>
      </c>
      <c r="I268" s="22">
        <f t="shared" si="93"/>
        <v>7.7005527870967079</v>
      </c>
      <c r="J268" s="32">
        <v>2.4</v>
      </c>
      <c r="K268" s="22"/>
      <c r="L268" s="22"/>
      <c r="M268" s="22">
        <f t="shared" si="95"/>
        <v>-50.917542492876301</v>
      </c>
      <c r="N268" s="10">
        <f t="shared" si="94"/>
        <v>-0.89016682679853665</v>
      </c>
      <c r="O268" s="22" t="s">
        <v>68</v>
      </c>
      <c r="P268" s="22">
        <v>0.45</v>
      </c>
      <c r="Q268" s="89">
        <v>57.2</v>
      </c>
      <c r="R268" s="89"/>
      <c r="S268" s="10"/>
      <c r="T268" s="10"/>
      <c r="U268" s="10"/>
    </row>
    <row r="269" spans="1:21" x14ac:dyDescent="0.25">
      <c r="A269" s="22" t="s">
        <v>7</v>
      </c>
      <c r="B269" s="10">
        <v>3.5</v>
      </c>
      <c r="C269" s="10"/>
      <c r="D269" s="58">
        <v>0.54700000000000004</v>
      </c>
      <c r="E269" s="10"/>
      <c r="F269" s="10"/>
      <c r="G269" s="74">
        <f>(5.01*(B269^0.59)*$Z$45)/(86.4*I$18)</f>
        <v>13.665751842149952</v>
      </c>
      <c r="H269" s="74">
        <f t="shared" si="92"/>
        <v>23.227863867943061</v>
      </c>
      <c r="I269" s="22">
        <f t="shared" si="93"/>
        <v>7.7318842177137439</v>
      </c>
      <c r="J269" s="32">
        <v>1.1000000000000001</v>
      </c>
      <c r="K269" s="22"/>
      <c r="L269" s="22"/>
      <c r="M269" s="22">
        <f t="shared" si="95"/>
        <v>-50.517542492876302</v>
      </c>
      <c r="N269" s="10">
        <f t="shared" si="94"/>
        <v>-0.89253608644657778</v>
      </c>
      <c r="O269" s="22" t="s">
        <v>69</v>
      </c>
      <c r="P269" s="22">
        <f>-1+(EXP(1)*(0.5*P270))</f>
        <v>3.0774227426885679</v>
      </c>
      <c r="Q269" s="89">
        <v>56.6</v>
      </c>
      <c r="R269" s="89"/>
      <c r="S269" s="10"/>
      <c r="T269" s="10"/>
      <c r="U269" s="10"/>
    </row>
    <row r="270" spans="1:21" x14ac:dyDescent="0.25">
      <c r="A270" s="22" t="s">
        <v>8</v>
      </c>
      <c r="B270" s="10">
        <v>21.9</v>
      </c>
      <c r="C270" s="10"/>
      <c r="D270" s="70">
        <v>1814</v>
      </c>
      <c r="E270" s="10"/>
      <c r="F270" s="10"/>
      <c r="G270" s="74">
        <f>(5.01*(B270^0.59)*$Z$45)/(86.4*I$19)</f>
        <v>41.661590972436912</v>
      </c>
      <c r="H270" s="74">
        <f t="shared" si="92"/>
        <v>13.662929319300449</v>
      </c>
      <c r="I270" s="22">
        <f t="shared" si="93"/>
        <v>4.5479940890058428</v>
      </c>
      <c r="J270" s="32">
        <v>1.1000000000000001</v>
      </c>
      <c r="K270" s="22"/>
      <c r="L270" s="22"/>
      <c r="M270" s="22">
        <f t="shared" si="95"/>
        <v>-32.117542492876304</v>
      </c>
      <c r="N270" s="10">
        <f t="shared" si="94"/>
        <v>-0.58289550803768242</v>
      </c>
      <c r="O270" s="22" t="s">
        <v>74</v>
      </c>
      <c r="P270" s="22">
        <v>3</v>
      </c>
      <c r="Q270" s="89">
        <v>55.1</v>
      </c>
      <c r="R270" s="89"/>
      <c r="S270" s="10"/>
      <c r="T270" s="10"/>
      <c r="U270" s="10"/>
    </row>
    <row r="271" spans="1:21" ht="18.75" x14ac:dyDescent="0.3">
      <c r="A271" s="22" t="s">
        <v>9</v>
      </c>
      <c r="B271" s="10">
        <v>73.599999999999994</v>
      </c>
      <c r="C271" s="10"/>
      <c r="D271" s="70">
        <v>4563</v>
      </c>
      <c r="E271" s="10"/>
      <c r="F271" s="10"/>
      <c r="G271" s="74">
        <f>(5.01*(B271^0.59)*$Z$45)/(86.4*I$20)</f>
        <v>82.431137777816389</v>
      </c>
      <c r="H271" s="74">
        <f t="shared" si="92"/>
        <v>10.381827045739598</v>
      </c>
      <c r="I271" s="22">
        <f t="shared" si="93"/>
        <v>0.9418181009941724</v>
      </c>
      <c r="J271" s="32">
        <v>2.4</v>
      </c>
      <c r="K271" s="22"/>
      <c r="L271" s="22"/>
      <c r="M271" s="22">
        <f t="shared" si="95"/>
        <v>19.582457507123692</v>
      </c>
      <c r="N271" s="10">
        <f t="shared" si="94"/>
        <v>0.33589120938462597</v>
      </c>
      <c r="O271" s="45" t="s">
        <v>75</v>
      </c>
      <c r="P271" s="10"/>
      <c r="Q271" s="89">
        <v>58.3</v>
      </c>
      <c r="R271" s="89"/>
      <c r="S271" s="10"/>
      <c r="T271" s="10"/>
      <c r="U271" s="10"/>
    </row>
    <row r="272" spans="1:21" x14ac:dyDescent="0.25">
      <c r="A272" s="22" t="s">
        <v>10</v>
      </c>
      <c r="B272" s="10">
        <v>122</v>
      </c>
      <c r="C272" s="10"/>
      <c r="D272" s="70">
        <v>6983</v>
      </c>
      <c r="E272" s="10"/>
      <c r="F272" s="10"/>
      <c r="G272" s="74">
        <f>(5.01*(B272^0.59)*$Z$45)/(86.4*I$21)</f>
        <v>114.76940314329117</v>
      </c>
      <c r="H272" s="74">
        <f t="shared" si="92"/>
        <v>11.561143449387799</v>
      </c>
      <c r="I272" s="22">
        <f t="shared" si="93"/>
        <v>0.23401964191475155</v>
      </c>
      <c r="J272" s="32">
        <v>3.9</v>
      </c>
      <c r="K272" s="22"/>
      <c r="L272" s="22"/>
      <c r="M272" s="22">
        <f t="shared" si="95"/>
        <v>67.982457507123698</v>
      </c>
      <c r="N272" s="10">
        <f t="shared" si="94"/>
        <v>1.1483523227554677</v>
      </c>
      <c r="O272" s="10"/>
      <c r="P272" s="22"/>
      <c r="Q272" s="89">
        <v>59.2</v>
      </c>
      <c r="R272" s="89"/>
      <c r="S272" s="10"/>
      <c r="T272" s="10"/>
      <c r="U272" s="10"/>
    </row>
    <row r="273" spans="1:23" x14ac:dyDescent="0.25">
      <c r="A273" s="22" t="s">
        <v>11</v>
      </c>
      <c r="B273" s="10">
        <v>92.6</v>
      </c>
      <c r="C273" s="10"/>
      <c r="D273" s="70">
        <v>6441</v>
      </c>
      <c r="E273" s="10"/>
      <c r="F273" s="10"/>
      <c r="G273" s="74">
        <f>(5.01*(B273^0.59)*$Z$45)/(86.4*I$22)</f>
        <v>94.391712650548328</v>
      </c>
      <c r="H273" s="74">
        <f t="shared" si="92"/>
        <v>29.206825632791546</v>
      </c>
      <c r="I273" s="22">
        <f t="shared" si="93"/>
        <v>0.59120197807202179</v>
      </c>
      <c r="J273" s="32">
        <v>3.9</v>
      </c>
      <c r="K273" s="22"/>
      <c r="L273" s="22"/>
      <c r="M273" s="22">
        <f t="shared" si="95"/>
        <v>38.582457507123692</v>
      </c>
      <c r="N273" s="10">
        <f t="shared" si="94"/>
        <v>0.60759775601769594</v>
      </c>
      <c r="O273" s="22"/>
      <c r="P273" s="22"/>
      <c r="Q273" s="89">
        <v>63.5</v>
      </c>
      <c r="R273" s="89"/>
      <c r="S273" s="10"/>
      <c r="T273" s="10"/>
      <c r="U273" s="10"/>
    </row>
    <row r="274" spans="1:23" x14ac:dyDescent="0.25">
      <c r="A274" s="22" t="s">
        <v>12</v>
      </c>
      <c r="B274" s="22">
        <v>1995</v>
      </c>
      <c r="C274" s="22">
        <v>1995</v>
      </c>
      <c r="D274" s="56">
        <v>1995</v>
      </c>
      <c r="E274" s="22">
        <v>1995</v>
      </c>
      <c r="F274" s="22">
        <v>1995</v>
      </c>
      <c r="G274" s="56">
        <v>1995</v>
      </c>
      <c r="H274" s="56">
        <v>1995</v>
      </c>
      <c r="I274" s="22">
        <v>1995</v>
      </c>
      <c r="J274" s="47" t="s">
        <v>70</v>
      </c>
      <c r="K274" s="49" t="s">
        <v>61</v>
      </c>
      <c r="L274" s="49" t="s">
        <v>62</v>
      </c>
      <c r="M274" s="39" t="s">
        <v>60</v>
      </c>
      <c r="N274" s="39" t="s">
        <v>73</v>
      </c>
      <c r="O274" s="105" t="s">
        <v>57</v>
      </c>
      <c r="P274" s="105"/>
      <c r="Q274" s="10"/>
      <c r="R274" s="10"/>
      <c r="S274" s="10"/>
      <c r="T274" s="10"/>
      <c r="U274" s="10"/>
    </row>
    <row r="275" spans="1:23" x14ac:dyDescent="0.25">
      <c r="A275" s="22" t="s">
        <v>0</v>
      </c>
      <c r="B275" s="10">
        <v>10.6</v>
      </c>
      <c r="C275" s="10"/>
      <c r="D275" s="70">
        <v>2535</v>
      </c>
      <c r="E275" s="10"/>
      <c r="F275" s="10"/>
      <c r="G275" s="74">
        <f>(5.01*(B275^0.59)*$Z$45)/(86.4*I$11)</f>
        <v>26.276277781712569</v>
      </c>
      <c r="H275" s="76">
        <f t="shared" ref="H275:H286" si="96">L$30^(J275-(0.6458446*LN(P$34))-(9.53942*N275*(P$34/P$33))+(4.8904*N275))</f>
        <v>338.40368930376673</v>
      </c>
      <c r="I275" s="22">
        <f t="shared" ref="I275:I286" si="97">L$30^(K$28-(0.6458446*LN(P$34))-(9.53942*N275*(P$34/P$33))+(4.8904*N275))</f>
        <v>3.0778753264539613</v>
      </c>
      <c r="J275" s="32">
        <v>4.7</v>
      </c>
      <c r="K275" s="22">
        <f>(10^-8)*((P282/P281)^-7.2474)</f>
        <v>8.8839224002565862E-15</v>
      </c>
      <c r="L275" s="22">
        <f>(-3.2951*(P281/P280))+5.33</f>
        <v>3.0487769230769231</v>
      </c>
      <c r="M275" s="22">
        <f>(B275-(0.74*P$276))</f>
        <v>-23.221721630641539</v>
      </c>
      <c r="N275" s="10">
        <f t="shared" ref="N275:N286" si="98">M275/Q275</f>
        <v>-0.35507219618717945</v>
      </c>
      <c r="O275" s="22" t="s">
        <v>58</v>
      </c>
      <c r="P275" s="22">
        <f>(B275+B276+B277+B278+B279+B280+B281+B282+B283+B284+B285+B286)/12</f>
        <v>69.566666666666663</v>
      </c>
      <c r="Q275" s="89">
        <v>65.400000000000006</v>
      </c>
      <c r="R275" s="89"/>
      <c r="S275" s="10"/>
      <c r="T275" s="10"/>
      <c r="U275" s="10"/>
    </row>
    <row r="276" spans="1:23" x14ac:dyDescent="0.25">
      <c r="A276" s="22" t="s">
        <v>1</v>
      </c>
      <c r="B276" s="10">
        <v>63.7</v>
      </c>
      <c r="C276" s="10"/>
      <c r="D276" s="70">
        <v>3981</v>
      </c>
      <c r="E276" s="10"/>
      <c r="F276" s="10"/>
      <c r="G276" s="74">
        <f>(5.01*(B276^0.59)*$Z$45)/(86.4*I$12)</f>
        <v>83.806810262527051</v>
      </c>
      <c r="H276" s="76">
        <f t="shared" si="96"/>
        <v>77.875397583990477</v>
      </c>
      <c r="I276" s="22">
        <f t="shared" si="97"/>
        <v>0.7082983204311325</v>
      </c>
      <c r="J276" s="32">
        <v>4.7</v>
      </c>
      <c r="K276" s="22"/>
      <c r="L276" s="22"/>
      <c r="M276" s="22">
        <f t="shared" ref="M276:M286" si="99">(B276-(0.74*P$276))</f>
        <v>29.878278369358462</v>
      </c>
      <c r="N276" s="10">
        <f t="shared" si="98"/>
        <v>0.50215593898081445</v>
      </c>
      <c r="O276" s="22" t="s">
        <v>66</v>
      </c>
      <c r="P276" s="22">
        <f>((((B275-P275)^2+(B276-P275)^2+(B277-P275)^2+(B278-P275)^2+(B279-P275)^2+(B280-P275)^2+(B281-P275)^2+(B282-P275)^2+(B283-P275)^2+(B284-P275)^2+(B285-P275)^2+(B286-P275)^2))/(12-1))^0.5</f>
        <v>45.705029230596679</v>
      </c>
      <c r="Q276" s="89">
        <v>59.5</v>
      </c>
      <c r="R276" s="89"/>
      <c r="S276" s="10"/>
      <c r="T276" s="10"/>
      <c r="U276" s="10"/>
    </row>
    <row r="277" spans="1:23" x14ac:dyDescent="0.25">
      <c r="A277" s="22" t="s">
        <v>2</v>
      </c>
      <c r="B277" s="10">
        <v>108.3</v>
      </c>
      <c r="C277" s="10"/>
      <c r="D277" s="70">
        <v>6485</v>
      </c>
      <c r="E277" s="10"/>
      <c r="F277" s="10"/>
      <c r="G277" s="74">
        <f>(5.01*(B277^0.59)*$Z$45)/(86.4*I$13)</f>
        <v>103.52951352301768</v>
      </c>
      <c r="H277" s="76">
        <f t="shared" si="96"/>
        <v>16.265718001610395</v>
      </c>
      <c r="I277" s="22">
        <f t="shared" si="97"/>
        <v>0.1479412124826899</v>
      </c>
      <c r="J277" s="32">
        <v>4.7</v>
      </c>
      <c r="K277" s="22" t="s">
        <v>72</v>
      </c>
      <c r="L277" s="10">
        <f>EXP(1)</f>
        <v>2.7182818284590451</v>
      </c>
      <c r="M277" s="22">
        <f t="shared" si="99"/>
        <v>74.478278369358463</v>
      </c>
      <c r="N277" s="10">
        <f t="shared" si="98"/>
        <v>1.4159368511284878</v>
      </c>
      <c r="O277" s="22"/>
      <c r="P277" s="22"/>
      <c r="Q277" s="89">
        <v>52.6</v>
      </c>
      <c r="R277" s="89"/>
      <c r="S277" s="10"/>
      <c r="T277" s="10"/>
      <c r="U277" s="10"/>
    </row>
    <row r="278" spans="1:23" x14ac:dyDescent="0.25">
      <c r="A278" s="22" t="s">
        <v>3</v>
      </c>
      <c r="B278" s="10">
        <v>128.19999999999999</v>
      </c>
      <c r="C278" s="10"/>
      <c r="D278" s="70">
        <v>7426</v>
      </c>
      <c r="E278" s="10"/>
      <c r="F278" s="10"/>
      <c r="G278" s="74">
        <f>(5.01*(B278^0.59)*$Z$45)/(86.4*I$14)</f>
        <v>118.17558418714242</v>
      </c>
      <c r="H278" s="76">
        <f t="shared" si="96"/>
        <v>15.643561723829263</v>
      </c>
      <c r="I278" s="22">
        <f t="shared" si="97"/>
        <v>0.14228252873571057</v>
      </c>
      <c r="J278" s="32">
        <v>4.7</v>
      </c>
      <c r="K278" s="22"/>
      <c r="L278" s="22"/>
      <c r="M278" s="22">
        <f t="shared" si="99"/>
        <v>94.378278369358441</v>
      </c>
      <c r="N278" s="10">
        <f t="shared" si="98"/>
        <v>1.4386932678255862</v>
      </c>
      <c r="O278" s="22"/>
      <c r="P278" s="22"/>
      <c r="Q278" s="89">
        <v>65.599999999999994</v>
      </c>
      <c r="R278" s="89"/>
      <c r="S278" s="10"/>
      <c r="T278" s="10"/>
      <c r="U278" s="10"/>
    </row>
    <row r="279" spans="1:23" x14ac:dyDescent="0.25">
      <c r="A279" s="22" t="s">
        <v>4</v>
      </c>
      <c r="B279" s="10">
        <v>112.8</v>
      </c>
      <c r="C279" s="10"/>
      <c r="D279" s="58">
        <v>7.26</v>
      </c>
      <c r="E279" s="10"/>
      <c r="F279" s="10"/>
      <c r="G279" s="74">
        <f>(5.01*(B279^0.59)*$Z$45)/(86.4*I$15)</f>
        <v>106.04635671920516</v>
      </c>
      <c r="H279" s="76">
        <f t="shared" si="96"/>
        <v>22.583040783340635</v>
      </c>
      <c r="I279" s="22">
        <f t="shared" si="97"/>
        <v>0.20539901372338262</v>
      </c>
      <c r="J279" s="32">
        <v>4.7</v>
      </c>
      <c r="K279" s="22" t="s">
        <v>77</v>
      </c>
      <c r="L279" s="22">
        <v>86400</v>
      </c>
      <c r="M279" s="22">
        <f t="shared" si="99"/>
        <v>78.978278369358463</v>
      </c>
      <c r="N279" s="10">
        <f t="shared" si="98"/>
        <v>1.2244694320830769</v>
      </c>
      <c r="O279" s="22"/>
      <c r="P279" s="22"/>
      <c r="Q279" s="89">
        <v>64.5</v>
      </c>
      <c r="R279" s="89"/>
      <c r="S279" s="10"/>
      <c r="T279" s="10"/>
      <c r="U279" s="10"/>
    </row>
    <row r="280" spans="1:23" x14ac:dyDescent="0.25">
      <c r="A280" s="22" t="s">
        <v>5</v>
      </c>
      <c r="B280" s="10">
        <v>49.3</v>
      </c>
      <c r="C280" s="10"/>
      <c r="D280" s="70">
        <v>4715</v>
      </c>
      <c r="E280" s="10"/>
      <c r="F280" s="10"/>
      <c r="G280" s="74">
        <f>(5.01*(B280^0.59)*$Z$45)/(86.4*I$16)</f>
        <v>67.243994719669445</v>
      </c>
      <c r="H280" s="76">
        <f t="shared" si="96"/>
        <v>52.535248962457061</v>
      </c>
      <c r="I280" s="22">
        <f t="shared" si="97"/>
        <v>1.063413857281353</v>
      </c>
      <c r="J280" s="32">
        <v>3.9</v>
      </c>
      <c r="K280" s="22" t="s">
        <v>78</v>
      </c>
      <c r="L280" s="22">
        <f>L279*15</f>
        <v>1296000</v>
      </c>
      <c r="M280" s="22">
        <f t="shared" si="99"/>
        <v>15.478278369358456</v>
      </c>
      <c r="N280" s="10">
        <f t="shared" si="98"/>
        <v>0.26503901317394618</v>
      </c>
      <c r="O280" s="22" t="s">
        <v>67</v>
      </c>
      <c r="P280" s="22">
        <v>0.65</v>
      </c>
      <c r="Q280" s="89">
        <v>58.4</v>
      </c>
      <c r="R280" s="89"/>
      <c r="S280" s="10"/>
      <c r="T280" s="10"/>
      <c r="U280" s="10"/>
    </row>
    <row r="281" spans="1:23" x14ac:dyDescent="0.25">
      <c r="A281" s="22" t="s">
        <v>6</v>
      </c>
      <c r="B281" s="10">
        <v>25.8</v>
      </c>
      <c r="C281" s="10"/>
      <c r="D281" s="70">
        <v>2822</v>
      </c>
      <c r="E281" s="10"/>
      <c r="F281" s="10"/>
      <c r="G281" s="74">
        <f>(5.01*(B281^0.59)*$Z$45)/(86.4*I$17)</f>
        <v>44.410842329680001</v>
      </c>
      <c r="H281" s="76">
        <f t="shared" si="96"/>
        <v>23.477838804165884</v>
      </c>
      <c r="I281" s="22">
        <f t="shared" si="97"/>
        <v>2.1298614839726957</v>
      </c>
      <c r="J281" s="32">
        <v>2.4</v>
      </c>
      <c r="K281" s="22"/>
      <c r="L281" s="22"/>
      <c r="M281" s="22">
        <f t="shared" si="99"/>
        <v>-8.0217216306415402</v>
      </c>
      <c r="N281" s="10">
        <f t="shared" si="98"/>
        <v>-0.14023988864757936</v>
      </c>
      <c r="O281" s="22" t="s">
        <v>68</v>
      </c>
      <c r="P281" s="22">
        <v>0.45</v>
      </c>
      <c r="Q281" s="89">
        <v>57.2</v>
      </c>
      <c r="R281" s="89"/>
      <c r="S281" s="10"/>
      <c r="T281" s="10"/>
      <c r="U281" s="10"/>
    </row>
    <row r="282" spans="1:23" x14ac:dyDescent="0.25">
      <c r="A282" s="22" t="s">
        <v>7</v>
      </c>
      <c r="B282" s="10">
        <v>45.9</v>
      </c>
      <c r="C282" s="10"/>
      <c r="D282" s="70">
        <v>3436</v>
      </c>
      <c r="E282" s="10"/>
      <c r="F282" s="10"/>
      <c r="G282" s="74">
        <f>(5.01*(B282^0.59)*$Z$45)/(86.4*I$18)</f>
        <v>62.38825927781987</v>
      </c>
      <c r="H282" s="76">
        <f t="shared" si="96"/>
        <v>3.4903042252353718</v>
      </c>
      <c r="I282" s="22">
        <f t="shared" si="97"/>
        <v>1.1618213498900942</v>
      </c>
      <c r="J282" s="32">
        <v>1.1000000000000001</v>
      </c>
      <c r="K282" s="22"/>
      <c r="L282" s="22"/>
      <c r="M282" s="22">
        <f t="shared" si="99"/>
        <v>12.078278369358458</v>
      </c>
      <c r="N282" s="10">
        <f t="shared" si="98"/>
        <v>0.21339714433495507</v>
      </c>
      <c r="O282" s="22" t="s">
        <v>69</v>
      </c>
      <c r="P282" s="22">
        <f>-1+(EXP(1)*(0.5*P283))</f>
        <v>3.0774227426885679</v>
      </c>
      <c r="Q282" s="89">
        <v>56.6</v>
      </c>
      <c r="R282" s="89"/>
      <c r="S282" s="10"/>
      <c r="T282" s="10"/>
      <c r="U282" s="10"/>
    </row>
    <row r="283" spans="1:23" x14ac:dyDescent="0.25">
      <c r="A283" s="22" t="s">
        <v>8</v>
      </c>
      <c r="B283" s="10">
        <v>11.8</v>
      </c>
      <c r="C283" s="10"/>
      <c r="D283" s="70">
        <v>1943</v>
      </c>
      <c r="E283" s="10"/>
      <c r="F283" s="10"/>
      <c r="G283" s="74">
        <f>(5.01*(B283^0.59)*$Z$45)/(86.4*I$19)</f>
        <v>28.925721957216123</v>
      </c>
      <c r="H283" s="76">
        <f t="shared" si="96"/>
        <v>9.9808563895012377</v>
      </c>
      <c r="I283" s="22">
        <f t="shared" si="97"/>
        <v>3.3223384826082083</v>
      </c>
      <c r="J283" s="32">
        <v>1.1000000000000001</v>
      </c>
      <c r="K283" s="22"/>
      <c r="L283" s="22"/>
      <c r="M283" s="22">
        <f t="shared" si="99"/>
        <v>-22.02172163064154</v>
      </c>
      <c r="N283" s="10">
        <f t="shared" si="98"/>
        <v>-0.39966826915864861</v>
      </c>
      <c r="O283" s="22" t="s">
        <v>74</v>
      </c>
      <c r="P283" s="22">
        <v>3</v>
      </c>
      <c r="Q283" s="89">
        <v>55.1</v>
      </c>
      <c r="R283" s="89"/>
      <c r="S283" s="10"/>
      <c r="T283" s="10"/>
      <c r="U283" s="10"/>
    </row>
    <row r="284" spans="1:23" ht="18.75" x14ac:dyDescent="0.3">
      <c r="A284" s="22" t="s">
        <v>9</v>
      </c>
      <c r="B284" s="10">
        <v>97.6</v>
      </c>
      <c r="C284" s="10"/>
      <c r="D284" s="70">
        <v>5367</v>
      </c>
      <c r="E284" s="10"/>
      <c r="F284" s="10"/>
      <c r="G284" s="74">
        <f>(5.01*(B284^0.59)*$Z$45)/(86.4*I$20)</f>
        <v>97.366324559342445</v>
      </c>
      <c r="H284" s="76">
        <f t="shared" si="96"/>
        <v>2.8316399320605887</v>
      </c>
      <c r="I284" s="22">
        <f t="shared" si="97"/>
        <v>0.25688057908910988</v>
      </c>
      <c r="J284" s="32">
        <v>2.4</v>
      </c>
      <c r="K284" s="22"/>
      <c r="L284" s="22"/>
      <c r="M284" s="22">
        <f t="shared" si="99"/>
        <v>63.778278369358453</v>
      </c>
      <c r="N284" s="10">
        <f t="shared" si="98"/>
        <v>1.0939670389255309</v>
      </c>
      <c r="O284" s="45" t="s">
        <v>75</v>
      </c>
      <c r="P284" s="10"/>
      <c r="Q284" s="89">
        <v>58.3</v>
      </c>
      <c r="R284" s="89"/>
      <c r="S284" s="10"/>
      <c r="T284" s="10"/>
      <c r="U284" s="10"/>
    </row>
    <row r="285" spans="1:23" x14ac:dyDescent="0.25">
      <c r="A285" s="22" t="s">
        <v>10</v>
      </c>
      <c r="B285" s="10">
        <v>139.30000000000001</v>
      </c>
      <c r="C285" s="10"/>
      <c r="D285" s="70">
        <v>7808</v>
      </c>
      <c r="E285" s="10"/>
      <c r="F285" s="10"/>
      <c r="G285" s="74">
        <f>(5.01*(B285^0.59)*$Z$45)/(86.4*I$21)</f>
        <v>124.10948734600603</v>
      </c>
      <c r="H285" s="76">
        <f t="shared" si="96"/>
        <v>3.9046272488643115</v>
      </c>
      <c r="I285" s="22">
        <f t="shared" si="97"/>
        <v>7.9037119000386888E-2</v>
      </c>
      <c r="J285" s="32">
        <v>3.9</v>
      </c>
      <c r="K285" s="22"/>
      <c r="L285" s="22"/>
      <c r="M285" s="22">
        <f t="shared" si="99"/>
        <v>105.47827836935846</v>
      </c>
      <c r="N285" s="10">
        <f t="shared" si="98"/>
        <v>1.7817276751580822</v>
      </c>
      <c r="O285" s="10"/>
      <c r="P285" s="22"/>
      <c r="Q285" s="89">
        <v>59.2</v>
      </c>
      <c r="R285" s="89"/>
      <c r="S285" s="10"/>
      <c r="T285" s="10"/>
      <c r="U285" s="10"/>
    </row>
    <row r="286" spans="1:23" x14ac:dyDescent="0.25">
      <c r="A286" s="22" t="s">
        <v>11</v>
      </c>
      <c r="B286" s="10">
        <v>41.5</v>
      </c>
      <c r="C286" s="10"/>
      <c r="D286" s="70">
        <v>4628</v>
      </c>
      <c r="E286" s="10"/>
      <c r="F286" s="10"/>
      <c r="G286" s="74">
        <f>(5.01*(B286^0.59)*$Z$45)/(86.4*I$22)</f>
        <v>58.787062669812144</v>
      </c>
      <c r="H286" s="76">
        <f t="shared" si="96"/>
        <v>67.254325484165548</v>
      </c>
      <c r="I286" s="22">
        <f t="shared" si="97"/>
        <v>1.3613561007977975</v>
      </c>
      <c r="J286" s="32">
        <v>3.9</v>
      </c>
      <c r="K286" s="22"/>
      <c r="L286" s="22"/>
      <c r="M286" s="22">
        <f t="shared" si="99"/>
        <v>7.6782783693584591</v>
      </c>
      <c r="N286" s="10">
        <f t="shared" si="98"/>
        <v>0.12091776959619621</v>
      </c>
      <c r="O286" s="22"/>
      <c r="P286" s="22"/>
      <c r="Q286" s="89">
        <v>63.5</v>
      </c>
      <c r="R286" s="89"/>
      <c r="S286" s="10"/>
      <c r="T286" s="10"/>
      <c r="U286" s="10"/>
    </row>
    <row r="287" spans="1:23" x14ac:dyDescent="0.25">
      <c r="A287" s="22" t="s">
        <v>12</v>
      </c>
      <c r="B287" s="22">
        <v>1996</v>
      </c>
      <c r="C287" s="22">
        <v>1996</v>
      </c>
      <c r="D287" s="56">
        <v>1996</v>
      </c>
      <c r="E287" s="22">
        <v>1996</v>
      </c>
      <c r="F287" s="22">
        <v>1996</v>
      </c>
      <c r="G287" s="56">
        <v>1996</v>
      </c>
      <c r="H287" s="56">
        <v>1996</v>
      </c>
      <c r="I287" s="22">
        <v>1996</v>
      </c>
      <c r="J287" s="47" t="s">
        <v>70</v>
      </c>
      <c r="K287" s="49" t="s">
        <v>61</v>
      </c>
      <c r="L287" s="49" t="s">
        <v>62</v>
      </c>
      <c r="M287" s="39" t="s">
        <v>60</v>
      </c>
      <c r="N287" s="39" t="s">
        <v>73</v>
      </c>
      <c r="O287" s="105" t="s">
        <v>57</v>
      </c>
      <c r="P287" s="105"/>
      <c r="Q287" s="10"/>
      <c r="R287" s="10"/>
      <c r="S287" s="10"/>
      <c r="T287" s="10"/>
      <c r="U287" s="10"/>
      <c r="W287" s="5"/>
    </row>
    <row r="288" spans="1:23" x14ac:dyDescent="0.25">
      <c r="A288" s="22" t="s">
        <v>0</v>
      </c>
      <c r="B288" s="10">
        <v>92.2</v>
      </c>
      <c r="C288" s="10"/>
      <c r="D288" s="70">
        <v>5529</v>
      </c>
      <c r="E288" s="10"/>
      <c r="F288" s="10"/>
      <c r="G288" s="74">
        <f>(5.01*(B288^0.59)*$Z$45)/(86.4*I$11)</f>
        <v>94.150932836506385</v>
      </c>
      <c r="H288" s="76">
        <f t="shared" ref="H288:H299" si="100">L$30^(J288-(0.6458446*LN(P$34))-(9.53942*N288*(P$34/P$33))+(4.8904*N288))</f>
        <v>47.359635067638912</v>
      </c>
      <c r="I288" s="22">
        <f t="shared" ref="I288:I299" si="101">L$30^(K$28-(0.6458446*LN(P$34))-(9.53942*N288*(P$34/P$33))+(4.8904*N288))</f>
        <v>0.43074900437537017</v>
      </c>
      <c r="J288" s="32">
        <v>4.7</v>
      </c>
      <c r="K288" s="22">
        <f>(10^-8)*((P295/P294)^-7.2474)</f>
        <v>8.8839224002565862E-15</v>
      </c>
      <c r="L288" s="22">
        <f>(-3.2951*(P294/P293))+5.33</f>
        <v>3.0487769230769231</v>
      </c>
      <c r="M288" s="22">
        <f>(B288-(0.74*P$289))</f>
        <v>51.819735701481825</v>
      </c>
      <c r="N288" s="10">
        <f t="shared" ref="N288:N299" si="102">M288/Q288</f>
        <v>0.79235069879941622</v>
      </c>
      <c r="O288" s="22" t="s">
        <v>58</v>
      </c>
      <c r="P288" s="22">
        <f>(B288+B289+B290+B291+B292+B293+B294+B295+B296+B297+B298+B299)/12</f>
        <v>88.324999999999989</v>
      </c>
      <c r="Q288" s="89">
        <v>65.400000000000006</v>
      </c>
      <c r="R288" s="89"/>
      <c r="S288" s="10"/>
      <c r="T288" s="10"/>
      <c r="U288" s="10"/>
      <c r="V288" s="5"/>
      <c r="W288" s="5"/>
    </row>
    <row r="289" spans="1:23" x14ac:dyDescent="0.25">
      <c r="A289" s="22" t="s">
        <v>1</v>
      </c>
      <c r="B289" s="10">
        <v>98.5</v>
      </c>
      <c r="C289" s="10"/>
      <c r="D289" s="70">
        <v>6356</v>
      </c>
      <c r="E289" s="10"/>
      <c r="F289" s="10"/>
      <c r="G289" s="74">
        <f>(5.01*(B289^0.59)*$Z$45)/(86.4*J$12)</f>
        <v>104.64643934808225</v>
      </c>
      <c r="H289" s="76">
        <f t="shared" si="100"/>
        <v>34.523995708315113</v>
      </c>
      <c r="I289" s="22">
        <f t="shared" si="101"/>
        <v>0.31400530762488582</v>
      </c>
      <c r="J289" s="32">
        <v>4.7</v>
      </c>
      <c r="K289" s="22"/>
      <c r="L289" s="22"/>
      <c r="M289" s="22">
        <f t="shared" ref="M289:M299" si="103">(B289-(0.74*P$289))</f>
        <v>58.119735701481822</v>
      </c>
      <c r="N289" s="10">
        <f t="shared" si="102"/>
        <v>0.97680228069717345</v>
      </c>
      <c r="O289" s="22" t="s">
        <v>66</v>
      </c>
      <c r="P289" s="22">
        <f>((((B288-P288)^2+(B289-P288)^2+(B290-P288)^2+(B291-P288)^2+(B292-P288)^2+(B293-P288)^2+(B294-P288)^2+(B295-P288)^2+(B296-P288)^2+(B297-P288)^2+(B298-P288)^2+(B299-P288)^2))/(12-1))^0.5</f>
        <v>54.567924727727267</v>
      </c>
      <c r="Q289" s="89">
        <v>59.5</v>
      </c>
      <c r="R289" s="89"/>
      <c r="S289" s="10"/>
      <c r="T289" s="10"/>
      <c r="U289" s="10"/>
      <c r="V289" s="5"/>
      <c r="W289" s="5"/>
    </row>
    <row r="290" spans="1:23" x14ac:dyDescent="0.25">
      <c r="A290" s="22" t="s">
        <v>2</v>
      </c>
      <c r="B290" s="10">
        <v>135.80000000000001</v>
      </c>
      <c r="C290" s="10"/>
      <c r="D290" s="70">
        <v>7872</v>
      </c>
      <c r="E290" s="10"/>
      <c r="F290" s="10"/>
      <c r="G290" s="74">
        <f>(5.01*(B290^0.59)*$Z$45)/(86.4*I$13)</f>
        <v>118.31620962332967</v>
      </c>
      <c r="H290" s="76">
        <f t="shared" si="100"/>
        <v>8.2214359440667941</v>
      </c>
      <c r="I290" s="22">
        <f t="shared" si="101"/>
        <v>7.477623808513037E-2</v>
      </c>
      <c r="J290" s="32">
        <v>4.7</v>
      </c>
      <c r="K290" s="22" t="s">
        <v>72</v>
      </c>
      <c r="L290" s="10">
        <f>EXP(1)</f>
        <v>2.7182818284590451</v>
      </c>
      <c r="M290" s="22">
        <f t="shared" si="103"/>
        <v>95.419735701481841</v>
      </c>
      <c r="N290" s="10">
        <f t="shared" si="102"/>
        <v>1.8140634163779816</v>
      </c>
      <c r="O290" s="22"/>
      <c r="P290" s="22"/>
      <c r="Q290" s="89">
        <v>52.6</v>
      </c>
      <c r="R290" s="89"/>
      <c r="S290" s="10"/>
      <c r="T290" s="10"/>
      <c r="U290" s="10"/>
      <c r="V290" s="5"/>
      <c r="W290" s="5"/>
    </row>
    <row r="291" spans="1:23" x14ac:dyDescent="0.25">
      <c r="A291" s="22" t="s">
        <v>3</v>
      </c>
      <c r="B291" s="10">
        <v>173.7</v>
      </c>
      <c r="C291" s="10"/>
      <c r="D291" s="70">
        <v>9331</v>
      </c>
      <c r="E291" s="10"/>
      <c r="F291" s="10"/>
      <c r="G291" s="74">
        <f>(5.01*(B291^0.59)*$Z$45)/(86.4*I$14)</f>
        <v>141.36949801920593</v>
      </c>
      <c r="H291" s="76">
        <f t="shared" si="100"/>
        <v>5.6559362015063384</v>
      </c>
      <c r="I291" s="22">
        <f t="shared" si="101"/>
        <v>5.1442307022213508E-2</v>
      </c>
      <c r="J291" s="32">
        <v>4.7</v>
      </c>
      <c r="K291" s="22"/>
      <c r="L291" s="22"/>
      <c r="M291" s="22">
        <f t="shared" si="103"/>
        <v>133.31973570148182</v>
      </c>
      <c r="N291" s="10">
        <f t="shared" si="102"/>
        <v>2.0323130442299058</v>
      </c>
      <c r="O291" s="22"/>
      <c r="P291" s="22"/>
      <c r="Q291" s="89">
        <v>65.599999999999994</v>
      </c>
      <c r="R291" s="89"/>
      <c r="S291" s="10"/>
      <c r="T291" s="10"/>
      <c r="U291" s="10"/>
      <c r="V291" s="5"/>
      <c r="W291" s="5"/>
    </row>
    <row r="292" spans="1:23" x14ac:dyDescent="0.25">
      <c r="A292" s="22" t="s">
        <v>4</v>
      </c>
      <c r="B292" s="10">
        <v>175.1</v>
      </c>
      <c r="C292" s="10"/>
      <c r="D292" s="70">
        <v>9745</v>
      </c>
      <c r="E292" s="10"/>
      <c r="F292" s="10"/>
      <c r="G292" s="74">
        <f>(5.01*(B292^0.59)*$Z$45)/(86.4*I$15)</f>
        <v>137.45869296682693</v>
      </c>
      <c r="H292" s="76">
        <f t="shared" si="100"/>
        <v>5.1351367920667101</v>
      </c>
      <c r="I292" s="22">
        <f t="shared" si="101"/>
        <v>4.6705492078960506E-2</v>
      </c>
      <c r="J292" s="32">
        <v>4.7</v>
      </c>
      <c r="K292" s="22" t="s">
        <v>77</v>
      </c>
      <c r="L292" s="22">
        <v>86400</v>
      </c>
      <c r="M292" s="22">
        <f t="shared" si="103"/>
        <v>134.71973570148182</v>
      </c>
      <c r="N292" s="10">
        <f t="shared" si="102"/>
        <v>2.0886780728911911</v>
      </c>
      <c r="O292" s="22"/>
      <c r="P292" s="22"/>
      <c r="Q292" s="89">
        <v>64.5</v>
      </c>
      <c r="R292" s="89"/>
      <c r="S292" s="10"/>
      <c r="T292" s="10"/>
      <c r="U292" s="10"/>
      <c r="V292" s="5"/>
      <c r="W292" s="5"/>
    </row>
    <row r="293" spans="1:23" x14ac:dyDescent="0.25">
      <c r="A293" s="22" t="s">
        <v>5</v>
      </c>
      <c r="B293" s="10">
        <v>51.6</v>
      </c>
      <c r="C293" s="10"/>
      <c r="D293" s="70">
        <v>5586</v>
      </c>
      <c r="E293" s="10"/>
      <c r="F293" s="10"/>
      <c r="G293" s="74">
        <f>(5.01*(B293^0.59)*$Z$45)/(86.4*I$16)</f>
        <v>69.077585165421112</v>
      </c>
      <c r="H293" s="76">
        <f t="shared" si="100"/>
        <v>59.528553560838184</v>
      </c>
      <c r="I293" s="22">
        <f t="shared" si="101"/>
        <v>1.2049717096753214</v>
      </c>
      <c r="J293" s="32">
        <v>3.9</v>
      </c>
      <c r="K293" s="22" t="s">
        <v>78</v>
      </c>
      <c r="L293" s="22">
        <f>L292*15</f>
        <v>1296000</v>
      </c>
      <c r="M293" s="22">
        <f t="shared" si="103"/>
        <v>11.219735701481824</v>
      </c>
      <c r="N293" s="10">
        <f t="shared" si="102"/>
        <v>0.19211876201167508</v>
      </c>
      <c r="O293" s="22" t="s">
        <v>67</v>
      </c>
      <c r="P293" s="22">
        <v>0.65</v>
      </c>
      <c r="Q293" s="89">
        <v>58.4</v>
      </c>
      <c r="R293" s="89"/>
      <c r="S293" s="10"/>
      <c r="T293" s="10"/>
      <c r="U293" s="10"/>
      <c r="V293" s="5"/>
      <c r="W293" s="5"/>
    </row>
    <row r="294" spans="1:23" x14ac:dyDescent="0.25">
      <c r="A294" s="22" t="s">
        <v>6</v>
      </c>
      <c r="B294" s="10">
        <v>22.4</v>
      </c>
      <c r="C294" s="10"/>
      <c r="D294" s="70">
        <v>2715</v>
      </c>
      <c r="E294" s="10"/>
      <c r="F294" s="10"/>
      <c r="G294" s="74">
        <f>(5.01*(B294^0.59)*$Z$45)/(86.4*I$17)</f>
        <v>40.858245604987644</v>
      </c>
      <c r="H294" s="76">
        <f t="shared" si="100"/>
        <v>31.640331383081094</v>
      </c>
      <c r="I294" s="22">
        <f t="shared" si="101"/>
        <v>2.8703461044719081</v>
      </c>
      <c r="J294" s="32">
        <v>2.4</v>
      </c>
      <c r="K294" s="22"/>
      <c r="L294" s="22"/>
      <c r="M294" s="22">
        <f t="shared" si="103"/>
        <v>-17.980264298518179</v>
      </c>
      <c r="N294" s="10">
        <f t="shared" si="102"/>
        <v>-0.31434028493912897</v>
      </c>
      <c r="O294" s="22" t="s">
        <v>68</v>
      </c>
      <c r="P294" s="22">
        <v>0.45</v>
      </c>
      <c r="Q294" s="89">
        <v>57.2</v>
      </c>
      <c r="R294" s="89"/>
      <c r="S294" s="10"/>
      <c r="T294" s="10"/>
      <c r="U294" s="10"/>
      <c r="V294" s="5"/>
      <c r="W294" s="5"/>
    </row>
    <row r="295" spans="1:23" x14ac:dyDescent="0.25">
      <c r="A295" s="22" t="s">
        <v>7</v>
      </c>
      <c r="B295" s="10">
        <v>30.9</v>
      </c>
      <c r="C295" s="10"/>
      <c r="D295" s="58">
        <v>2.67</v>
      </c>
      <c r="E295" s="10"/>
      <c r="F295" s="10"/>
      <c r="G295" s="74">
        <f>(5.01*(B295^0.59)*$Z$45)/(86.4*I$18)</f>
        <v>49.397945512209539</v>
      </c>
      <c r="H295" s="76">
        <f t="shared" si="100"/>
        <v>6.7044304294758241</v>
      </c>
      <c r="I295" s="22">
        <f t="shared" si="101"/>
        <v>2.2317110226380183</v>
      </c>
      <c r="J295" s="32">
        <v>1.1000000000000001</v>
      </c>
      <c r="K295" s="22"/>
      <c r="L295" s="22"/>
      <c r="M295" s="22">
        <f t="shared" si="103"/>
        <v>-9.4802642985181791</v>
      </c>
      <c r="N295" s="10">
        <f t="shared" si="102"/>
        <v>-0.16749583566286536</v>
      </c>
      <c r="O295" s="22" t="s">
        <v>69</v>
      </c>
      <c r="P295" s="22">
        <f>-1+(EXP(1)*(0.5*P296))</f>
        <v>3.0774227426885679</v>
      </c>
      <c r="Q295" s="89">
        <v>56.6</v>
      </c>
      <c r="R295" s="89"/>
      <c r="S295" s="10"/>
      <c r="T295" s="10"/>
      <c r="U295" s="10"/>
      <c r="V295" s="5"/>
      <c r="W295" s="5"/>
    </row>
    <row r="296" spans="1:23" x14ac:dyDescent="0.25">
      <c r="A296" s="22" t="s">
        <v>8</v>
      </c>
      <c r="B296" s="10">
        <v>76.8</v>
      </c>
      <c r="C296" s="10"/>
      <c r="D296" s="70">
        <v>4872</v>
      </c>
      <c r="E296" s="10"/>
      <c r="F296" s="10"/>
      <c r="G296" s="74">
        <f>(5.01*(B296^0.59)*$Z$45)/(86.4*I$19)</f>
        <v>87.344777494191064</v>
      </c>
      <c r="H296" s="76">
        <f t="shared" si="100"/>
        <v>1.6208056915657996</v>
      </c>
      <c r="I296" s="22">
        <f t="shared" si="101"/>
        <v>0.53951934701552773</v>
      </c>
      <c r="J296" s="32">
        <v>1.1000000000000001</v>
      </c>
      <c r="K296" s="22"/>
      <c r="L296" s="22"/>
      <c r="M296" s="22">
        <f t="shared" si="103"/>
        <v>36.419735701481819</v>
      </c>
      <c r="N296" s="10">
        <f t="shared" si="102"/>
        <v>0.66097523959132154</v>
      </c>
      <c r="O296" s="22" t="s">
        <v>74</v>
      </c>
      <c r="P296" s="22">
        <v>3</v>
      </c>
      <c r="Q296" s="89">
        <v>55.1</v>
      </c>
      <c r="R296" s="89"/>
      <c r="S296" s="10"/>
      <c r="T296" s="10"/>
      <c r="U296" s="10"/>
      <c r="V296" s="5"/>
      <c r="W296" s="5"/>
    </row>
    <row r="297" spans="1:23" ht="18.75" x14ac:dyDescent="0.3">
      <c r="A297" s="22" t="s">
        <v>9</v>
      </c>
      <c r="B297" s="10">
        <v>116.9</v>
      </c>
      <c r="C297" s="10"/>
      <c r="D297" s="70">
        <v>6884</v>
      </c>
      <c r="E297" s="10"/>
      <c r="F297" s="10"/>
      <c r="G297" s="74">
        <f>(5.01*(B297^0.59)*$Z$45)/(86.4*I$20)</f>
        <v>108.30386252331833</v>
      </c>
      <c r="H297" s="76">
        <f t="shared" si="100"/>
        <v>1.9470243533366773</v>
      </c>
      <c r="I297" s="22">
        <f t="shared" si="101"/>
        <v>0.17663006433934678</v>
      </c>
      <c r="J297" s="32">
        <v>2.4</v>
      </c>
      <c r="K297" s="22"/>
      <c r="L297" s="22"/>
      <c r="M297" s="22">
        <f t="shared" si="103"/>
        <v>76.519735701481835</v>
      </c>
      <c r="N297" s="10">
        <f t="shared" si="102"/>
        <v>1.3125169074010608</v>
      </c>
      <c r="O297" s="45" t="s">
        <v>75</v>
      </c>
      <c r="P297" s="10"/>
      <c r="Q297" s="89">
        <v>58.3</v>
      </c>
      <c r="R297" s="89"/>
      <c r="S297" s="10"/>
      <c r="T297" s="10"/>
      <c r="U297" s="10"/>
      <c r="V297" s="5"/>
      <c r="W297" s="5"/>
    </row>
    <row r="298" spans="1:23" x14ac:dyDescent="0.25">
      <c r="A298" s="22" t="s">
        <v>10</v>
      </c>
      <c r="B298" s="10">
        <v>15.5</v>
      </c>
      <c r="C298" s="10"/>
      <c r="D298" s="70">
        <v>3064</v>
      </c>
      <c r="E298" s="10"/>
      <c r="F298" s="10"/>
      <c r="G298" s="74">
        <f>(5.01*(B298^0.59)*$Z$45)/(86.4*I$21)</f>
        <v>33.975786968840048</v>
      </c>
      <c r="H298" s="76">
        <f t="shared" si="100"/>
        <v>170.03164100700442</v>
      </c>
      <c r="I298" s="22">
        <f t="shared" si="101"/>
        <v>3.4417654202486196</v>
      </c>
      <c r="J298" s="32">
        <v>3.9</v>
      </c>
      <c r="K298" s="22"/>
      <c r="L298" s="22"/>
      <c r="M298" s="22">
        <f t="shared" si="103"/>
        <v>-24.880264298518178</v>
      </c>
      <c r="N298" s="10">
        <f t="shared" si="102"/>
        <v>-0.42027473477226651</v>
      </c>
      <c r="O298" s="10"/>
      <c r="P298" s="22"/>
      <c r="Q298" s="89">
        <v>59.2</v>
      </c>
      <c r="R298" s="89"/>
      <c r="S298" s="10"/>
      <c r="T298" s="10"/>
      <c r="U298" s="10"/>
      <c r="V298" s="5"/>
      <c r="W298" s="5"/>
    </row>
    <row r="299" spans="1:23" x14ac:dyDescent="0.25">
      <c r="A299" s="22" t="s">
        <v>11</v>
      </c>
      <c r="B299" s="10">
        <v>70.5</v>
      </c>
      <c r="C299" s="10"/>
      <c r="D299" s="70">
        <v>4356</v>
      </c>
      <c r="E299" s="10"/>
      <c r="F299" s="10"/>
      <c r="G299" s="74">
        <f>(5.01*(B299^0.59)*$Z$45)/(86.4*I$22)</f>
        <v>80.364632473680203</v>
      </c>
      <c r="H299" s="76">
        <f t="shared" si="100"/>
        <v>36.701017545253769</v>
      </c>
      <c r="I299" s="22">
        <f t="shared" si="101"/>
        <v>0.74289874712194703</v>
      </c>
      <c r="J299" s="32">
        <v>3.9</v>
      </c>
      <c r="K299" s="22"/>
      <c r="L299" s="22"/>
      <c r="M299" s="22">
        <f t="shared" si="103"/>
        <v>30.119735701481822</v>
      </c>
      <c r="N299" s="10">
        <f t="shared" si="102"/>
        <v>0.4743265464800287</v>
      </c>
      <c r="O299" s="22"/>
      <c r="P299" s="22"/>
      <c r="Q299" s="89">
        <v>63.5</v>
      </c>
      <c r="R299" s="89"/>
      <c r="S299" s="10"/>
      <c r="T299" s="10"/>
      <c r="U299" s="10"/>
      <c r="V299" s="5"/>
      <c r="W299" s="5"/>
    </row>
    <row r="300" spans="1:23" x14ac:dyDescent="0.25">
      <c r="A300" s="22" t="s">
        <v>12</v>
      </c>
      <c r="B300" s="22">
        <v>1997</v>
      </c>
      <c r="C300" s="22">
        <v>1997</v>
      </c>
      <c r="D300" s="56">
        <v>1997</v>
      </c>
      <c r="E300" s="22">
        <v>1997</v>
      </c>
      <c r="F300" s="22">
        <v>1997</v>
      </c>
      <c r="G300" s="56">
        <v>1997</v>
      </c>
      <c r="H300" s="56">
        <v>1997</v>
      </c>
      <c r="I300" s="22">
        <v>1997</v>
      </c>
      <c r="J300" s="47" t="s">
        <v>70</v>
      </c>
      <c r="K300" s="49" t="s">
        <v>61</v>
      </c>
      <c r="L300" s="49" t="s">
        <v>62</v>
      </c>
      <c r="M300" s="39" t="s">
        <v>60</v>
      </c>
      <c r="N300" s="39" t="s">
        <v>73</v>
      </c>
      <c r="O300" s="105" t="s">
        <v>57</v>
      </c>
      <c r="P300" s="105"/>
      <c r="Q300" s="10"/>
      <c r="R300" s="10"/>
      <c r="S300" s="10"/>
      <c r="T300" s="10"/>
      <c r="U300" s="10"/>
      <c r="V300" s="5"/>
      <c r="W300" s="5"/>
    </row>
    <row r="301" spans="1:23" x14ac:dyDescent="0.25">
      <c r="A301" s="22" t="s">
        <v>0</v>
      </c>
      <c r="B301" s="10">
        <v>150.6</v>
      </c>
      <c r="C301" s="10"/>
      <c r="D301" s="70">
        <v>7811</v>
      </c>
      <c r="E301" s="10"/>
      <c r="F301" s="10"/>
      <c r="G301" s="74">
        <f>(5.01*(B301^0.59)*$Z$45)/(86.4*I$11)</f>
        <v>125.7621974726127</v>
      </c>
      <c r="H301" s="76">
        <f t="shared" ref="H301:H312" si="104">L$30^(J301-(0.6458446*LN(P$34))-(9.53942*N301*(P$34/P$33))+(4.8904*N301))</f>
        <v>12.755575584955835</v>
      </c>
      <c r="I301" s="22">
        <f t="shared" ref="I301:I312" si="105">L$30^(K$28-(0.6458446*LN(P$34))-(9.53942*N301*(P$34/P$33))+(4.8904*N301))</f>
        <v>0.11601549453679995</v>
      </c>
      <c r="J301" s="32">
        <v>4.7</v>
      </c>
      <c r="K301" s="22">
        <f>(10^-8)*((P308/P307)^-7.2474)</f>
        <v>8.8839224002565862E-15</v>
      </c>
      <c r="L301" s="22">
        <f>(-3.2951*(P307/P306))+5.33</f>
        <v>3.0487769230769231</v>
      </c>
      <c r="M301" s="22">
        <f>(B301-(0.74*P$302))</f>
        <v>101.87875375188256</v>
      </c>
      <c r="N301" s="10">
        <f t="shared" ref="N301:N312" si="106">M301/Q301</f>
        <v>1.5577791093560023</v>
      </c>
      <c r="O301" s="22" t="s">
        <v>58</v>
      </c>
      <c r="P301" s="22">
        <f>(B301+B302+B303+B304+B305+B306+B307+B308+B309+B310+B311+B312)/12</f>
        <v>81.00833333333334</v>
      </c>
      <c r="Q301" s="89">
        <v>65.400000000000006</v>
      </c>
      <c r="R301" s="89"/>
      <c r="S301" s="10"/>
      <c r="T301" s="10"/>
      <c r="U301" s="10"/>
      <c r="V301" s="5"/>
      <c r="W301" s="5"/>
    </row>
    <row r="302" spans="1:23" x14ac:dyDescent="0.25">
      <c r="A302" s="22" t="s">
        <v>1</v>
      </c>
      <c r="B302" s="10">
        <v>20.7</v>
      </c>
      <c r="C302" s="10"/>
      <c r="D302" s="70">
        <v>3791</v>
      </c>
      <c r="E302" s="10"/>
      <c r="F302" s="10"/>
      <c r="G302" s="74">
        <f>(5.01*(B302^0.59)*$Z$45)/(86.4*I$12)</f>
        <v>43.17770454258995</v>
      </c>
      <c r="H302" s="76">
        <f t="shared" si="104"/>
        <v>412.74273675791636</v>
      </c>
      <c r="I302" s="22">
        <f t="shared" si="105"/>
        <v>3.7540095625255754</v>
      </c>
      <c r="J302" s="32">
        <v>4.7</v>
      </c>
      <c r="K302" s="22"/>
      <c r="L302" s="22"/>
      <c r="M302" s="22">
        <f t="shared" ref="M302:M312" si="107">(B302-(0.74*P$302))</f>
        <v>-28.021246248117432</v>
      </c>
      <c r="N302" s="10">
        <f t="shared" si="106"/>
        <v>-0.47094531509441062</v>
      </c>
      <c r="O302" s="22" t="s">
        <v>66</v>
      </c>
      <c r="P302" s="22">
        <f>((((B301-P301)^2+(B302-P301)^2+(B303-P301)^2+(B304-P301)^2+(B305-P301)^2+(B306-P301)^2+(B307-P301)^2+(B308-P301)^2+(B309-P301)^2+(B310-P301)^2+(B311-P301)^2+(B312-P301)^2))/(12-1))^0.5</f>
        <v>65.839521956915448</v>
      </c>
      <c r="Q302" s="89">
        <v>59.5</v>
      </c>
      <c r="R302" s="89"/>
      <c r="S302" s="10"/>
      <c r="T302" s="10"/>
      <c r="U302" s="10"/>
      <c r="V302" s="5"/>
      <c r="W302" s="5"/>
    </row>
    <row r="303" spans="1:23" x14ac:dyDescent="0.25">
      <c r="A303" s="22" t="s">
        <v>2</v>
      </c>
      <c r="B303" s="10">
        <v>150.1</v>
      </c>
      <c r="C303" s="10"/>
      <c r="D303" s="70">
        <v>7525</v>
      </c>
      <c r="E303" s="10"/>
      <c r="F303" s="10"/>
      <c r="G303" s="74">
        <f>(5.01*(B303^0.59)*$Z$45)/(86.4*I$13)</f>
        <v>125.51568261009109</v>
      </c>
      <c r="H303" s="76">
        <f t="shared" si="104"/>
        <v>6.7705889927797864</v>
      </c>
      <c r="I303" s="22">
        <f t="shared" si="105"/>
        <v>6.1580383031024213E-2</v>
      </c>
      <c r="J303" s="32">
        <v>4.7</v>
      </c>
      <c r="K303" s="22" t="s">
        <v>72</v>
      </c>
      <c r="L303" s="10">
        <f>EXP(1)</f>
        <v>2.7182818284590451</v>
      </c>
      <c r="M303" s="22">
        <f t="shared" si="107"/>
        <v>101.37875375188256</v>
      </c>
      <c r="N303" s="10">
        <f t="shared" si="106"/>
        <v>1.9273527329255238</v>
      </c>
      <c r="O303" s="22"/>
      <c r="P303" s="22"/>
      <c r="Q303" s="89">
        <v>52.6</v>
      </c>
      <c r="R303" s="89"/>
      <c r="S303" s="10"/>
      <c r="T303" s="10"/>
      <c r="U303" s="10"/>
      <c r="V303" s="5"/>
      <c r="W303" s="5"/>
    </row>
    <row r="304" spans="1:23" x14ac:dyDescent="0.25">
      <c r="A304" s="22" t="s">
        <v>3</v>
      </c>
      <c r="B304" s="10">
        <v>81.7</v>
      </c>
      <c r="C304" s="10"/>
      <c r="D304" s="70">
        <v>6338</v>
      </c>
      <c r="E304" s="10"/>
      <c r="F304" s="10"/>
      <c r="G304" s="74">
        <f>(5.01*(B304^0.59)*$Z$45)/(86.4*I$14)</f>
        <v>90.590954664816437</v>
      </c>
      <c r="H304" s="76">
        <f t="shared" si="104"/>
        <v>77.799498183996803</v>
      </c>
      <c r="I304" s="22">
        <f t="shared" si="105"/>
        <v>0.70760799435633748</v>
      </c>
      <c r="J304" s="32">
        <v>4.7</v>
      </c>
      <c r="K304" s="22"/>
      <c r="L304" s="22"/>
      <c r="M304" s="22">
        <f t="shared" si="107"/>
        <v>32.978753751882572</v>
      </c>
      <c r="N304" s="10">
        <f t="shared" si="106"/>
        <v>0.50272490475430753</v>
      </c>
      <c r="O304" s="22"/>
      <c r="P304" s="22"/>
      <c r="Q304" s="89">
        <v>65.599999999999994</v>
      </c>
      <c r="R304" s="89"/>
      <c r="S304" s="10"/>
      <c r="T304" s="10"/>
      <c r="U304" s="10"/>
      <c r="V304" s="5"/>
      <c r="W304" s="5"/>
    </row>
    <row r="305" spans="1:23" x14ac:dyDescent="0.25">
      <c r="A305" s="22" t="s">
        <v>4</v>
      </c>
      <c r="B305" s="10">
        <v>62.6</v>
      </c>
      <c r="C305" s="10"/>
      <c r="D305" s="70">
        <v>4818</v>
      </c>
      <c r="E305" s="10"/>
      <c r="F305" s="10"/>
      <c r="G305" s="74">
        <f>(5.01*(B305^0.59)*$Z$45)/(86.4*I$15)</f>
        <v>74.922496564109963</v>
      </c>
      <c r="H305" s="76">
        <f t="shared" si="104"/>
        <v>127.35046923494274</v>
      </c>
      <c r="I305" s="22">
        <f t="shared" si="105"/>
        <v>1.1582878067228024</v>
      </c>
      <c r="J305" s="32">
        <v>4.7</v>
      </c>
      <c r="K305" s="22" t="s">
        <v>77</v>
      </c>
      <c r="L305" s="22">
        <v>86400</v>
      </c>
      <c r="M305" s="22">
        <f t="shared" si="107"/>
        <v>13.87875375188257</v>
      </c>
      <c r="N305" s="10">
        <f t="shared" si="106"/>
        <v>0.21517447677337317</v>
      </c>
      <c r="O305" s="22"/>
      <c r="P305" s="22"/>
      <c r="Q305" s="89">
        <v>64.5</v>
      </c>
      <c r="R305" s="89"/>
      <c r="S305" s="10"/>
      <c r="T305" s="10"/>
      <c r="U305" s="10"/>
      <c r="V305" s="5"/>
      <c r="W305" s="5"/>
    </row>
    <row r="306" spans="1:23" x14ac:dyDescent="0.25">
      <c r="A306" s="22" t="s">
        <v>5</v>
      </c>
      <c r="B306" s="10">
        <v>50.8</v>
      </c>
      <c r="C306" s="10"/>
      <c r="D306" s="70">
        <v>4191</v>
      </c>
      <c r="E306" s="10"/>
      <c r="F306" s="10"/>
      <c r="G306" s="74">
        <f>(5.01*(B306^0.59)*$Z$45)/(86.4*I$16)</f>
        <v>68.443689631958918</v>
      </c>
      <c r="H306" s="76">
        <f t="shared" si="104"/>
        <v>77.844131322350577</v>
      </c>
      <c r="I306" s="22">
        <f t="shared" si="105"/>
        <v>1.5757140128026026</v>
      </c>
      <c r="J306" s="32">
        <v>3.9</v>
      </c>
      <c r="K306" s="22" t="s">
        <v>78</v>
      </c>
      <c r="L306" s="22">
        <f>L305*15</f>
        <v>1296000</v>
      </c>
      <c r="M306" s="22">
        <f t="shared" si="107"/>
        <v>2.0787537518825658</v>
      </c>
      <c r="N306" s="10">
        <f t="shared" si="106"/>
        <v>3.5595098491139829E-2</v>
      </c>
      <c r="O306" s="22" t="s">
        <v>67</v>
      </c>
      <c r="P306" s="22">
        <v>0.65</v>
      </c>
      <c r="Q306" s="89">
        <v>58.4</v>
      </c>
      <c r="R306" s="89"/>
      <c r="S306" s="10"/>
      <c r="T306" s="10"/>
      <c r="U306" s="10"/>
      <c r="V306" s="5"/>
      <c r="W306" s="5"/>
    </row>
    <row r="307" spans="1:23" x14ac:dyDescent="0.25">
      <c r="A307" s="22" t="s">
        <v>6</v>
      </c>
      <c r="B307" s="10">
        <v>0.4</v>
      </c>
      <c r="C307" s="10"/>
      <c r="D307" s="70">
        <v>1358</v>
      </c>
      <c r="E307" s="10"/>
      <c r="F307" s="10"/>
      <c r="G307" s="74">
        <f>(5.01*(B307^0.59)*$Z$45)/(86.4*I$17)</f>
        <v>3.8005703751731703</v>
      </c>
      <c r="H307" s="76">
        <f t="shared" si="104"/>
        <v>78.531707351784121</v>
      </c>
      <c r="I307" s="22">
        <f t="shared" si="105"/>
        <v>7.1242357592770249</v>
      </c>
      <c r="J307" s="32">
        <v>2.4</v>
      </c>
      <c r="K307" s="22"/>
      <c r="L307" s="22"/>
      <c r="M307" s="22">
        <f t="shared" si="107"/>
        <v>-48.321246248117433</v>
      </c>
      <c r="N307" s="10">
        <f t="shared" si="106"/>
        <v>-0.84477703230974532</v>
      </c>
      <c r="O307" s="22" t="s">
        <v>68</v>
      </c>
      <c r="P307" s="22">
        <v>0.45</v>
      </c>
      <c r="Q307" s="89">
        <v>57.2</v>
      </c>
      <c r="R307" s="89"/>
      <c r="S307" s="10"/>
      <c r="T307" s="10"/>
      <c r="U307" s="10"/>
      <c r="V307" s="5"/>
      <c r="W307" s="5"/>
    </row>
    <row r="308" spans="1:23" x14ac:dyDescent="0.25">
      <c r="A308" s="22" t="s">
        <v>7</v>
      </c>
      <c r="B308" s="10">
        <v>0.2</v>
      </c>
      <c r="C308" s="10"/>
      <c r="D308" s="58">
        <v>0.22800000000000001</v>
      </c>
      <c r="E308" s="10"/>
      <c r="F308" s="10"/>
      <c r="G308" s="74">
        <f>(5.01*(B308^0.59)*$Z$45)/(86.4*I$18)</f>
        <v>2.524881971484024</v>
      </c>
      <c r="H308" s="76">
        <f t="shared" si="104"/>
        <v>21.865410109544548</v>
      </c>
      <c r="I308" s="22">
        <f t="shared" si="105"/>
        <v>7.2783627586670994</v>
      </c>
      <c r="J308" s="32">
        <v>1.1000000000000001</v>
      </c>
      <c r="K308" s="22"/>
      <c r="L308" s="22"/>
      <c r="M308" s="22">
        <f t="shared" si="107"/>
        <v>-48.521246248117428</v>
      </c>
      <c r="N308" s="10">
        <f t="shared" si="106"/>
        <v>-0.85726583477239271</v>
      </c>
      <c r="O308" s="22" t="s">
        <v>69</v>
      </c>
      <c r="P308" s="22">
        <f>-1+(EXP(1)*(0.5*P309))</f>
        <v>3.0774227426885679</v>
      </c>
      <c r="Q308" s="89">
        <v>56.6</v>
      </c>
      <c r="R308" s="89"/>
      <c r="S308" s="10"/>
      <c r="T308" s="10"/>
      <c r="U308" s="10"/>
      <c r="V308" s="5"/>
      <c r="W308" s="5"/>
    </row>
    <row r="309" spans="1:23" x14ac:dyDescent="0.25">
      <c r="A309" s="22" t="s">
        <v>8</v>
      </c>
      <c r="B309" s="10">
        <v>67.099999999999994</v>
      </c>
      <c r="C309" s="10"/>
      <c r="D309" s="70">
        <v>4035</v>
      </c>
      <c r="E309" s="10"/>
      <c r="F309" s="10"/>
      <c r="G309" s="74">
        <f>(5.01*(B309^0.59)*$Z$45)/(86.4*I$19)</f>
        <v>80.656636977928315</v>
      </c>
      <c r="H309" s="76">
        <f t="shared" si="104"/>
        <v>2.8407401901294653</v>
      </c>
      <c r="I309" s="22">
        <f t="shared" si="105"/>
        <v>0.94560026559309185</v>
      </c>
      <c r="J309" s="32">
        <v>1.1000000000000001</v>
      </c>
      <c r="K309" s="22"/>
      <c r="L309" s="22"/>
      <c r="M309" s="22">
        <f t="shared" si="107"/>
        <v>18.378753751882563</v>
      </c>
      <c r="N309" s="10">
        <f t="shared" si="106"/>
        <v>0.33355269967118989</v>
      </c>
      <c r="O309" s="22" t="s">
        <v>74</v>
      </c>
      <c r="P309" s="22">
        <v>3</v>
      </c>
      <c r="Q309" s="89">
        <v>55.1</v>
      </c>
      <c r="R309" s="89"/>
      <c r="S309" s="10"/>
      <c r="T309" s="10"/>
      <c r="U309" s="10"/>
      <c r="V309" s="5"/>
      <c r="W309" s="5"/>
    </row>
    <row r="310" spans="1:23" ht="18.75" x14ac:dyDescent="0.3">
      <c r="A310" s="22" t="s">
        <v>9</v>
      </c>
      <c r="B310" s="10">
        <v>114.7</v>
      </c>
      <c r="C310" s="10"/>
      <c r="D310" s="70">
        <v>6701</v>
      </c>
      <c r="E310" s="10"/>
      <c r="F310" s="10"/>
      <c r="G310" s="74">
        <f>(5.01*(B310^0.59)*$Z$45)/(86.4*I$20)</f>
        <v>107.09662884390136</v>
      </c>
      <c r="H310" s="76">
        <f t="shared" si="104"/>
        <v>2.6542704405318762</v>
      </c>
      <c r="I310" s="22">
        <f t="shared" si="105"/>
        <v>0.24078998184164138</v>
      </c>
      <c r="J310" s="32">
        <v>2.4</v>
      </c>
      <c r="K310" s="22"/>
      <c r="L310" s="22"/>
      <c r="M310" s="22">
        <f t="shared" si="107"/>
        <v>65.978753751882579</v>
      </c>
      <c r="N310" s="10">
        <f t="shared" si="106"/>
        <v>1.131711042056305</v>
      </c>
      <c r="O310" s="45" t="s">
        <v>75</v>
      </c>
      <c r="P310" s="10"/>
      <c r="Q310" s="89">
        <v>58.3</v>
      </c>
      <c r="R310" s="89"/>
      <c r="S310" s="10"/>
      <c r="T310" s="10"/>
      <c r="U310" s="10"/>
      <c r="V310" s="5"/>
      <c r="W310" s="5"/>
    </row>
    <row r="311" spans="1:23" x14ac:dyDescent="0.25">
      <c r="A311" s="22" t="s">
        <v>10</v>
      </c>
      <c r="B311" s="10">
        <v>216.1</v>
      </c>
      <c r="C311" s="10"/>
      <c r="D311" s="70">
        <v>10394</v>
      </c>
      <c r="E311" s="10"/>
      <c r="F311" s="10"/>
      <c r="G311" s="74">
        <f>(5.01*(B311^0.59)*$Z$45)/(86.4*I$21)</f>
        <v>160.81262290225277</v>
      </c>
      <c r="H311" s="76">
        <f t="shared" si="104"/>
        <v>0.6506202817312644</v>
      </c>
      <c r="I311" s="22">
        <f t="shared" si="105"/>
        <v>1.3169798127648669E-2</v>
      </c>
      <c r="J311" s="32">
        <v>3.9</v>
      </c>
      <c r="K311" s="22"/>
      <c r="L311" s="22"/>
      <c r="M311" s="22">
        <f t="shared" si="107"/>
        <v>167.37875375188256</v>
      </c>
      <c r="N311" s="10">
        <f t="shared" si="106"/>
        <v>2.8273438133763942</v>
      </c>
      <c r="O311" s="10"/>
      <c r="P311" s="22"/>
      <c r="Q311" s="89">
        <v>59.2</v>
      </c>
      <c r="R311" s="89"/>
      <c r="S311" s="10"/>
      <c r="T311" s="10"/>
      <c r="U311" s="10"/>
      <c r="V311" s="5"/>
      <c r="W311" s="5"/>
    </row>
    <row r="312" spans="1:23" x14ac:dyDescent="0.25">
      <c r="A312" s="22" t="s">
        <v>11</v>
      </c>
      <c r="B312" s="10">
        <v>57.1</v>
      </c>
      <c r="C312" s="10"/>
      <c r="D312" s="70">
        <v>6132</v>
      </c>
      <c r="E312" s="10"/>
      <c r="F312" s="10"/>
      <c r="G312" s="74">
        <f>(5.01*(B312^0.59)*$Z$45)/(86.4*I$22)</f>
        <v>70.965732155609118</v>
      </c>
      <c r="H312" s="76">
        <f t="shared" si="104"/>
        <v>65.994807823437966</v>
      </c>
      <c r="I312" s="22">
        <f t="shared" si="105"/>
        <v>1.3358610558449224</v>
      </c>
      <c r="J312" s="32">
        <v>3.9</v>
      </c>
      <c r="K312" s="22"/>
      <c r="L312" s="22"/>
      <c r="M312" s="22">
        <f t="shared" si="107"/>
        <v>8.3787537518825701</v>
      </c>
      <c r="N312" s="10">
        <f t="shared" si="106"/>
        <v>0.13194887798240268</v>
      </c>
      <c r="O312" s="22"/>
      <c r="P312" s="22"/>
      <c r="Q312" s="89">
        <v>63.5</v>
      </c>
      <c r="R312" s="89"/>
      <c r="S312" s="10"/>
      <c r="T312" s="10"/>
      <c r="U312" s="10"/>
      <c r="V312" s="5"/>
      <c r="W312" s="5"/>
    </row>
    <row r="313" spans="1:23" x14ac:dyDescent="0.25">
      <c r="A313" s="22" t="s">
        <v>12</v>
      </c>
      <c r="B313" s="22">
        <v>1998</v>
      </c>
      <c r="C313" s="22">
        <v>1998</v>
      </c>
      <c r="D313" s="56">
        <v>1998</v>
      </c>
      <c r="E313" s="22">
        <v>1998</v>
      </c>
      <c r="F313" s="22">
        <v>1998</v>
      </c>
      <c r="G313" s="56">
        <v>1998</v>
      </c>
      <c r="H313" s="56">
        <v>1998</v>
      </c>
      <c r="I313" s="22">
        <v>1998</v>
      </c>
      <c r="J313" s="47" t="s">
        <v>70</v>
      </c>
      <c r="K313" s="49" t="s">
        <v>61</v>
      </c>
      <c r="L313" s="49" t="s">
        <v>62</v>
      </c>
      <c r="M313" s="39" t="s">
        <v>60</v>
      </c>
      <c r="N313" s="39" t="s">
        <v>73</v>
      </c>
      <c r="O313" s="105" t="s">
        <v>57</v>
      </c>
      <c r="P313" s="105"/>
      <c r="Q313" s="10"/>
      <c r="R313" s="10"/>
      <c r="S313" s="10"/>
      <c r="T313" s="10"/>
      <c r="U313" s="10"/>
      <c r="V313" s="5"/>
      <c r="W313" s="5"/>
    </row>
    <row r="314" spans="1:23" x14ac:dyDescent="0.25">
      <c r="A314" s="22" t="s">
        <v>0</v>
      </c>
      <c r="B314" s="10">
        <v>40.700000000000003</v>
      </c>
      <c r="C314" s="10"/>
      <c r="D314" s="70">
        <v>3653</v>
      </c>
      <c r="E314" s="10"/>
      <c r="F314" s="10"/>
      <c r="G314" s="74">
        <f>(5.01*(B314^0.59)*$Z$45)/(86.4*I$11)</f>
        <v>58.115781910805417</v>
      </c>
      <c r="H314" s="74">
        <f t="shared" ref="H314:H325" si="108">L$30^(J314-(0.6458446*LN(P$34))-(9.53942*N314*(P$34/P$33))+(4.8904*N314))</f>
        <v>158.11399803970804</v>
      </c>
      <c r="I314" s="22">
        <f t="shared" ref="I314:I325" si="109">L$30^(K$28-(0.6458446*LN(P$34))-(9.53942*N314*(P$34/P$33))+(4.8904*N314))</f>
        <v>1.4380906258281461</v>
      </c>
      <c r="J314" s="32">
        <v>4.7</v>
      </c>
      <c r="K314" s="22">
        <f>(10^-8)*((P321/P320)^-7.2474)</f>
        <v>8.8839224002565862E-15</v>
      </c>
      <c r="L314" s="22">
        <f>(-3.2951*(P320/P319))+5.33</f>
        <v>3.0487769230769231</v>
      </c>
      <c r="M314" s="22">
        <f>(B314-(0.74*P$315))</f>
        <v>5.8154930525068664</v>
      </c>
      <c r="N314" s="10">
        <f t="shared" ref="N314:N325" si="110">M314/Q314</f>
        <v>8.8921912117841992E-2</v>
      </c>
      <c r="O314" s="22" t="s">
        <v>58</v>
      </c>
      <c r="P314" s="22">
        <f>(B314+B315+B316+B317+B318+B319+B320+B321+B322+B323+B324+B325)/12</f>
        <v>73.133333333333326</v>
      </c>
      <c r="Q314" s="89">
        <v>65.400000000000006</v>
      </c>
      <c r="R314" s="89"/>
      <c r="S314" s="10"/>
      <c r="T314" s="10"/>
      <c r="U314" s="10"/>
      <c r="V314" s="5"/>
      <c r="W314" s="5"/>
    </row>
    <row r="315" spans="1:23" x14ac:dyDescent="0.25">
      <c r="A315" s="22" t="s">
        <v>1</v>
      </c>
      <c r="B315" s="10">
        <v>137.80000000000001</v>
      </c>
      <c r="C315" s="10"/>
      <c r="D315" s="70">
        <v>7162</v>
      </c>
      <c r="E315" s="10"/>
      <c r="F315" s="10"/>
      <c r="G315" s="74">
        <f>(5.01*(B315^0.59)*$Z$45)/(86.4*I$12)</f>
        <v>132.12776377812438</v>
      </c>
      <c r="H315" s="74">
        <f t="shared" si="108"/>
        <v>9.5007980468640714</v>
      </c>
      <c r="I315" s="22">
        <f t="shared" si="109"/>
        <v>8.6412390923479951E-2</v>
      </c>
      <c r="J315" s="32">
        <v>4.7</v>
      </c>
      <c r="K315" s="22"/>
      <c r="L315" s="22"/>
      <c r="M315" s="22">
        <f t="shared" ref="M315:M325" si="111">(B315-(0.74*P$315))</f>
        <v>102.91549305250687</v>
      </c>
      <c r="N315" s="10">
        <f t="shared" si="110"/>
        <v>1.7296721521429728</v>
      </c>
      <c r="O315" s="22" t="s">
        <v>66</v>
      </c>
      <c r="P315" s="22">
        <f>((((B314-P314)^2+(B315-P314)^2+(B316-P314)^2+(B317-P314)^2+(B318-P314)^2+(B319-P314)^2+(B320-P314)^2+(B321-P314)^2+(B322-P314)^2+(B323-P314)^2+(B324-P314)^2+(B325-P314)^2))/(12-1))^0.5</f>
        <v>47.141225604720454</v>
      </c>
      <c r="Q315" s="89">
        <v>59.5</v>
      </c>
      <c r="R315" s="89"/>
      <c r="S315" s="10"/>
      <c r="T315" s="10"/>
      <c r="U315" s="10"/>
      <c r="V315" s="5"/>
      <c r="W315" s="5"/>
    </row>
    <row r="316" spans="1:23" x14ac:dyDescent="0.25">
      <c r="A316" s="22" t="s">
        <v>2</v>
      </c>
      <c r="B316" s="10">
        <v>126.1</v>
      </c>
      <c r="C316" s="10"/>
      <c r="D316" s="70">
        <v>8024</v>
      </c>
      <c r="E316" s="10"/>
      <c r="F316" s="10"/>
      <c r="G316" s="74">
        <f>(5.01*(B316^0.59)*$Z$45)/(86.4*I$13)</f>
        <v>113.25445251057906</v>
      </c>
      <c r="H316" s="74">
        <f t="shared" si="108"/>
        <v>9.4284109135525238</v>
      </c>
      <c r="I316" s="22">
        <f t="shared" si="109"/>
        <v>8.5754009887414037E-2</v>
      </c>
      <c r="J316" s="32">
        <v>4.7</v>
      </c>
      <c r="K316" s="22" t="s">
        <v>72</v>
      </c>
      <c r="L316" s="10">
        <f>EXP(1)</f>
        <v>2.7182818284590451</v>
      </c>
      <c r="M316" s="22">
        <f t="shared" si="111"/>
        <v>91.215493052506858</v>
      </c>
      <c r="N316" s="10">
        <f t="shared" si="110"/>
        <v>1.7341348489069743</v>
      </c>
      <c r="O316" s="22"/>
      <c r="P316" s="22"/>
      <c r="Q316" s="89">
        <v>52.6</v>
      </c>
      <c r="R316" s="89"/>
      <c r="S316" s="10"/>
      <c r="T316" s="10"/>
      <c r="U316" s="10"/>
      <c r="V316" s="5"/>
      <c r="W316" s="5"/>
    </row>
    <row r="317" spans="1:23" x14ac:dyDescent="0.25">
      <c r="A317" s="22" t="s">
        <v>3</v>
      </c>
      <c r="B317" s="10">
        <v>127.4</v>
      </c>
      <c r="C317" s="10"/>
      <c r="D317" s="70">
        <v>7617</v>
      </c>
      <c r="E317" s="10"/>
      <c r="F317" s="10"/>
      <c r="G317" s="74">
        <f>(5.01*(B317^0.59)*$Z$45)/(86.4*I$14)</f>
        <v>117.73993332132767</v>
      </c>
      <c r="H317" s="74">
        <f t="shared" si="108"/>
        <v>16.423694857331267</v>
      </c>
      <c r="I317" s="22">
        <f t="shared" si="109"/>
        <v>0.14937805576112559</v>
      </c>
      <c r="J317" s="32">
        <v>4.7</v>
      </c>
      <c r="K317" s="22"/>
      <c r="L317" s="22"/>
      <c r="M317" s="22">
        <f t="shared" si="111"/>
        <v>92.515493052506869</v>
      </c>
      <c r="N317" s="10">
        <f t="shared" si="110"/>
        <v>1.4102971501906536</v>
      </c>
      <c r="O317" s="22"/>
      <c r="P317" s="22"/>
      <c r="Q317" s="89">
        <v>65.599999999999994</v>
      </c>
      <c r="R317" s="89"/>
      <c r="S317" s="10"/>
      <c r="T317" s="10"/>
      <c r="U317" s="10"/>
      <c r="V317" s="5"/>
      <c r="W317" s="5"/>
    </row>
    <row r="318" spans="1:23" x14ac:dyDescent="0.25">
      <c r="A318" s="22" t="s">
        <v>4</v>
      </c>
      <c r="B318" s="10">
        <v>125</v>
      </c>
      <c r="C318" s="10"/>
      <c r="D318" s="70">
        <v>7567</v>
      </c>
      <c r="E318" s="10"/>
      <c r="F318" s="10"/>
      <c r="G318" s="74">
        <f>(5.01*(B318^0.59)*$Z$45)/(86.4*I$15)</f>
        <v>112.67051815209643</v>
      </c>
      <c r="H318" s="74">
        <f t="shared" si="108"/>
        <v>16.798254603583786</v>
      </c>
      <c r="I318" s="22">
        <f t="shared" si="109"/>
        <v>0.15278478044443342</v>
      </c>
      <c r="J318" s="32">
        <v>4.7</v>
      </c>
      <c r="K318" s="22" t="s">
        <v>77</v>
      </c>
      <c r="L318" s="22">
        <v>86400</v>
      </c>
      <c r="M318" s="22">
        <f t="shared" si="111"/>
        <v>90.115493052506864</v>
      </c>
      <c r="N318" s="10">
        <f t="shared" si="110"/>
        <v>1.397139427170649</v>
      </c>
      <c r="O318" s="22"/>
      <c r="P318" s="22"/>
      <c r="Q318" s="89">
        <v>64.5</v>
      </c>
      <c r="R318" s="89"/>
      <c r="S318" s="10"/>
      <c r="T318" s="10"/>
      <c r="U318" s="10"/>
      <c r="V318" s="5"/>
      <c r="W318" s="5"/>
    </row>
    <row r="319" spans="1:23" x14ac:dyDescent="0.25">
      <c r="A319" s="22" t="s">
        <v>5</v>
      </c>
      <c r="B319" s="10">
        <v>22.1</v>
      </c>
      <c r="C319" s="10"/>
      <c r="D319" s="70">
        <v>3632</v>
      </c>
      <c r="E319" s="10"/>
      <c r="F319" s="10"/>
      <c r="G319" s="74">
        <f>(5.01*(B319^0.59)*$Z$45)/(86.4*I$16)</f>
        <v>41.885650489588748</v>
      </c>
      <c r="H319" s="74">
        <f t="shared" si="108"/>
        <v>120.40820213510868</v>
      </c>
      <c r="I319" s="22">
        <f t="shared" si="109"/>
        <v>2.4372921649674062</v>
      </c>
      <c r="J319" s="32">
        <v>3.9</v>
      </c>
      <c r="K319" s="22" t="s">
        <v>78</v>
      </c>
      <c r="L319" s="22">
        <f>L318*15</f>
        <v>1296000</v>
      </c>
      <c r="M319" s="22">
        <f t="shared" si="111"/>
        <v>-12.784506947493135</v>
      </c>
      <c r="N319" s="10">
        <f t="shared" si="110"/>
        <v>-0.21891279019680027</v>
      </c>
      <c r="O319" s="22" t="s">
        <v>67</v>
      </c>
      <c r="P319" s="22">
        <v>0.65</v>
      </c>
      <c r="Q319" s="89">
        <v>58.4</v>
      </c>
      <c r="R319" s="89"/>
      <c r="S319" s="10"/>
      <c r="T319" s="10"/>
      <c r="U319" s="10"/>
      <c r="V319" s="5"/>
      <c r="W319" s="5"/>
    </row>
    <row r="320" spans="1:23" x14ac:dyDescent="0.25">
      <c r="A320" s="22" t="s">
        <v>6</v>
      </c>
      <c r="B320" s="10">
        <v>22.3</v>
      </c>
      <c r="C320" s="10"/>
      <c r="D320" s="70">
        <v>2232</v>
      </c>
      <c r="E320" s="10"/>
      <c r="F320" s="10"/>
      <c r="G320" s="74">
        <f>(5.01*(B320^0.59)*$Z$45)/(86.4*I$17)</f>
        <v>40.750529207887411</v>
      </c>
      <c r="H320" s="74">
        <f t="shared" si="108"/>
        <v>26.91721699510067</v>
      </c>
      <c r="I320" s="22">
        <f t="shared" si="109"/>
        <v>2.441874834042546</v>
      </c>
      <c r="J320" s="32">
        <v>2.4</v>
      </c>
      <c r="K320" s="22"/>
      <c r="L320" s="22"/>
      <c r="M320" s="22">
        <f t="shared" si="111"/>
        <v>-12.584506947493136</v>
      </c>
      <c r="N320" s="10">
        <f t="shared" si="110"/>
        <v>-0.22000886271841144</v>
      </c>
      <c r="O320" s="22" t="s">
        <v>68</v>
      </c>
      <c r="P320" s="22">
        <v>0.45</v>
      </c>
      <c r="Q320" s="89">
        <v>57.2</v>
      </c>
      <c r="R320" s="89"/>
      <c r="S320" s="10"/>
      <c r="T320" s="10"/>
      <c r="U320" s="10"/>
      <c r="V320" s="5"/>
      <c r="W320" s="5"/>
    </row>
    <row r="321" spans="1:23" x14ac:dyDescent="0.25">
      <c r="A321" s="22" t="s">
        <v>7</v>
      </c>
      <c r="B321" s="10">
        <v>28.3</v>
      </c>
      <c r="C321" s="10"/>
      <c r="D321" s="70">
        <v>2503</v>
      </c>
      <c r="E321" s="10"/>
      <c r="F321" s="10"/>
      <c r="G321" s="74">
        <f>(5.01*(B321^0.59)*$Z$45)/(86.4*I$18)</f>
        <v>46.901570017612599</v>
      </c>
      <c r="H321" s="74">
        <f t="shared" si="108"/>
        <v>6.1416091279238731</v>
      </c>
      <c r="I321" s="22">
        <f t="shared" si="109"/>
        <v>2.0443640860620551</v>
      </c>
      <c r="J321" s="32">
        <v>1.1000000000000001</v>
      </c>
      <c r="K321" s="22"/>
      <c r="L321" s="22"/>
      <c r="M321" s="22">
        <f t="shared" si="111"/>
        <v>-6.5845069474931357</v>
      </c>
      <c r="N321" s="10">
        <f t="shared" si="110"/>
        <v>-0.11633404500871264</v>
      </c>
      <c r="O321" s="22" t="s">
        <v>69</v>
      </c>
      <c r="P321" s="22">
        <f>-1+(EXP(1)*(0.5*P322))</f>
        <v>3.0774227426885679</v>
      </c>
      <c r="Q321" s="89">
        <v>56.6</v>
      </c>
      <c r="R321" s="89"/>
      <c r="S321" s="10"/>
      <c r="T321" s="10"/>
      <c r="U321" s="10"/>
      <c r="V321" s="5"/>
      <c r="W321" s="5"/>
    </row>
    <row r="322" spans="1:23" x14ac:dyDescent="0.25">
      <c r="A322" s="22" t="s">
        <v>8</v>
      </c>
      <c r="B322" s="10">
        <v>45.6</v>
      </c>
      <c r="C322" s="10"/>
      <c r="D322" s="70">
        <v>3448</v>
      </c>
      <c r="E322" s="10"/>
      <c r="F322" s="10"/>
      <c r="G322" s="74">
        <f>(5.01*(B322^0.59)*$Z$45)/(86.4*I$19)</f>
        <v>64.218932217337738</v>
      </c>
      <c r="H322" s="74">
        <f t="shared" si="108"/>
        <v>3.6053556014131081</v>
      </c>
      <c r="I322" s="22">
        <f t="shared" si="109"/>
        <v>1.2001186261593333</v>
      </c>
      <c r="J322" s="32">
        <v>1.1000000000000001</v>
      </c>
      <c r="K322" s="22"/>
      <c r="L322" s="22"/>
      <c r="M322" s="22">
        <f t="shared" si="111"/>
        <v>10.715493052506865</v>
      </c>
      <c r="N322" s="10">
        <f t="shared" si="110"/>
        <v>0.19447355812172168</v>
      </c>
      <c r="O322" s="22" t="s">
        <v>74</v>
      </c>
      <c r="P322" s="22">
        <v>3</v>
      </c>
      <c r="Q322" s="89">
        <v>55.1</v>
      </c>
      <c r="R322" s="89"/>
      <c r="S322" s="10"/>
      <c r="T322" s="10"/>
      <c r="U322" s="10"/>
      <c r="V322" s="5"/>
      <c r="W322" s="5"/>
    </row>
    <row r="323" spans="1:23" ht="18.75" x14ac:dyDescent="0.3">
      <c r="A323" s="22" t="s">
        <v>9</v>
      </c>
      <c r="B323" s="10">
        <v>84.8</v>
      </c>
      <c r="C323" s="10"/>
      <c r="D323" s="70">
        <v>5312</v>
      </c>
      <c r="E323" s="10"/>
      <c r="F323" s="10"/>
      <c r="G323" s="74">
        <f>(5.01*(B323^0.59)*$Z$45)/(86.4*I$20)</f>
        <v>89.616285049901009</v>
      </c>
      <c r="H323" s="74">
        <f t="shared" si="108"/>
        <v>4.2561836136803519</v>
      </c>
      <c r="I323" s="22">
        <f t="shared" si="109"/>
        <v>0.38611226625702055</v>
      </c>
      <c r="J323" s="32">
        <v>2.4</v>
      </c>
      <c r="K323" s="22"/>
      <c r="L323" s="22"/>
      <c r="M323" s="22">
        <f t="shared" si="111"/>
        <v>49.915493052506861</v>
      </c>
      <c r="N323" s="10">
        <f t="shared" si="110"/>
        <v>0.85618341427970601</v>
      </c>
      <c r="O323" s="45" t="s">
        <v>75</v>
      </c>
      <c r="P323" s="10"/>
      <c r="Q323" s="89">
        <v>58.3</v>
      </c>
      <c r="R323" s="89"/>
      <c r="S323" s="10"/>
      <c r="T323" s="10"/>
      <c r="U323" s="10"/>
      <c r="V323" s="5"/>
      <c r="W323" s="5"/>
    </row>
    <row r="324" spans="1:23" x14ac:dyDescent="0.25">
      <c r="A324" s="22" t="s">
        <v>10</v>
      </c>
      <c r="B324" s="10">
        <v>92.4</v>
      </c>
      <c r="C324" s="10"/>
      <c r="D324" s="70">
        <v>6103</v>
      </c>
      <c r="E324" s="10"/>
      <c r="F324" s="10"/>
      <c r="G324" s="74">
        <f>(5.01*(B324^0.59)*$Z$45)/(86.4*I$21)</f>
        <v>97.41375536878266</v>
      </c>
      <c r="H324" s="74">
        <f t="shared" si="108"/>
        <v>15.653018431979101</v>
      </c>
      <c r="I324" s="22">
        <f t="shared" si="109"/>
        <v>0.31684701295966783</v>
      </c>
      <c r="J324" s="32">
        <v>3.9</v>
      </c>
      <c r="K324" s="22"/>
      <c r="L324" s="22"/>
      <c r="M324" s="22">
        <f t="shared" si="111"/>
        <v>57.515493052506869</v>
      </c>
      <c r="N324" s="10">
        <f t="shared" si="110"/>
        <v>0.97154549075180519</v>
      </c>
      <c r="O324" s="10"/>
      <c r="P324" s="22"/>
      <c r="Q324" s="89">
        <v>59.2</v>
      </c>
      <c r="R324" s="89"/>
      <c r="S324" s="10"/>
      <c r="T324" s="10"/>
      <c r="U324" s="10"/>
      <c r="V324" s="5"/>
      <c r="W324" s="5"/>
    </row>
    <row r="325" spans="1:23" x14ac:dyDescent="0.25">
      <c r="A325" s="22" t="s">
        <v>11</v>
      </c>
      <c r="B325" s="10">
        <v>25.1</v>
      </c>
      <c r="C325" s="10"/>
      <c r="D325" s="70">
        <v>3306</v>
      </c>
      <c r="E325" s="10"/>
      <c r="F325" s="10"/>
      <c r="G325" s="74">
        <f>(5.01*(B325^0.59)*$Z$45)/(86.4*I$22)</f>
        <v>43.695919184065026</v>
      </c>
      <c r="H325" s="74">
        <f t="shared" si="108"/>
        <v>107.74721093393305</v>
      </c>
      <c r="I325" s="22">
        <f t="shared" si="109"/>
        <v>2.1810095022570986</v>
      </c>
      <c r="J325" s="32">
        <v>3.9</v>
      </c>
      <c r="K325" s="22"/>
      <c r="L325" s="22"/>
      <c r="M325" s="22">
        <f t="shared" si="111"/>
        <v>-9.784506947493135</v>
      </c>
      <c r="N325" s="10">
        <f t="shared" si="110"/>
        <v>-0.15408672358256906</v>
      </c>
      <c r="O325" s="22"/>
      <c r="P325" s="22"/>
      <c r="Q325" s="89">
        <v>63.5</v>
      </c>
      <c r="R325" s="89"/>
      <c r="S325" s="10"/>
      <c r="T325" s="10"/>
      <c r="U325" s="10"/>
      <c r="V325" s="5"/>
      <c r="W325" s="5"/>
    </row>
    <row r="326" spans="1:23" x14ac:dyDescent="0.25">
      <c r="A326" s="22" t="s">
        <v>12</v>
      </c>
      <c r="B326" s="22">
        <v>1999</v>
      </c>
      <c r="C326" s="22">
        <v>1999</v>
      </c>
      <c r="D326" s="56">
        <v>1999</v>
      </c>
      <c r="E326" s="22">
        <v>1999</v>
      </c>
      <c r="F326" s="22">
        <v>1999</v>
      </c>
      <c r="G326" s="56">
        <v>1999</v>
      </c>
      <c r="H326" s="56">
        <v>1999</v>
      </c>
      <c r="I326" s="22">
        <v>1999</v>
      </c>
      <c r="J326" s="47" t="s">
        <v>70</v>
      </c>
      <c r="K326" s="49" t="s">
        <v>61</v>
      </c>
      <c r="L326" s="49" t="s">
        <v>62</v>
      </c>
      <c r="M326" s="39" t="s">
        <v>60</v>
      </c>
      <c r="N326" s="39" t="s">
        <v>73</v>
      </c>
      <c r="O326" s="105" t="s">
        <v>57</v>
      </c>
      <c r="P326" s="105"/>
      <c r="Q326" s="10"/>
      <c r="R326" s="10"/>
      <c r="S326" s="10"/>
      <c r="T326" s="10"/>
      <c r="U326" s="10"/>
      <c r="V326" s="5"/>
      <c r="W326" s="5"/>
    </row>
    <row r="327" spans="1:23" x14ac:dyDescent="0.25">
      <c r="A327" s="22" t="s">
        <v>0</v>
      </c>
      <c r="B327" s="10">
        <v>99.3</v>
      </c>
      <c r="C327" s="10"/>
      <c r="D327" s="70">
        <v>5606</v>
      </c>
      <c r="E327" s="10"/>
      <c r="F327" s="10"/>
      <c r="G327" s="74">
        <f>(5.01*(B327^0.59)*$Z$45)/(86.4*I$11)</f>
        <v>98.363379272538779</v>
      </c>
      <c r="H327" s="74">
        <f t="shared" ref="H327:H338" si="112">L$30^(J327-(0.6458446*LN(P$34))-(9.53942*N327*(P$34/P$33))+(4.8904*N327))</f>
        <v>39.767620221033695</v>
      </c>
      <c r="I327" s="22">
        <f t="shared" ref="I327:I338" si="113">L$30^(K$28-(0.6458446*LN(P$34))-(9.53942*N327*(P$34/P$33))+(4.8904*N327))</f>
        <v>0.36169752558530649</v>
      </c>
      <c r="J327" s="32">
        <v>4.7</v>
      </c>
      <c r="K327" s="22">
        <f>(10^-8)*((P334/P333)^-7.2474)</f>
        <v>8.8839224002565862E-15</v>
      </c>
      <c r="L327" s="22">
        <f>(-3.2951*(P333/P332))+5.33</f>
        <v>3.0487769230769231</v>
      </c>
      <c r="M327" s="22">
        <f>(B327-(0.74*P$328))</f>
        <v>58.487034622450054</v>
      </c>
      <c r="N327" s="10">
        <f t="shared" ref="N327:N338" si="114">M327/Q327</f>
        <v>0.89429716548088756</v>
      </c>
      <c r="O327" s="22" t="s">
        <v>58</v>
      </c>
      <c r="P327" s="22">
        <f>(B327+B328+B329+B330+B331+B332+B333+B334+B335+B336+B337+B338)/12</f>
        <v>102.14999999999998</v>
      </c>
      <c r="Q327" s="89">
        <v>65.400000000000006</v>
      </c>
      <c r="R327" s="89"/>
      <c r="S327" s="10"/>
      <c r="T327" s="10"/>
      <c r="U327" s="10"/>
      <c r="V327" s="5"/>
      <c r="W327" s="5"/>
    </row>
    <row r="328" spans="1:23" x14ac:dyDescent="0.25">
      <c r="A328" s="22" t="s">
        <v>1</v>
      </c>
      <c r="B328" s="10">
        <v>173.4</v>
      </c>
      <c r="C328" s="10"/>
      <c r="D328" s="70">
        <v>8932</v>
      </c>
      <c r="E328" s="10"/>
      <c r="F328" s="10"/>
      <c r="G328" s="74">
        <f>(5.01*(B328^0.59)*$Z$45)/(86.4*I$12)</f>
        <v>151.3129196779438</v>
      </c>
      <c r="H328" s="74">
        <f t="shared" si="112"/>
        <v>4.0419561151220869</v>
      </c>
      <c r="I328" s="22">
        <f t="shared" si="113"/>
        <v>3.6762710899929586E-2</v>
      </c>
      <c r="J328" s="32">
        <v>4.7</v>
      </c>
      <c r="K328" s="22"/>
      <c r="L328" s="22"/>
      <c r="M328" s="22">
        <f t="shared" ref="M328:M338" si="115">(B328-(0.74*P$328))</f>
        <v>132.58703462245006</v>
      </c>
      <c r="N328" s="10">
        <f t="shared" si="114"/>
        <v>2.2283535230663878</v>
      </c>
      <c r="O328" s="22" t="s">
        <v>66</v>
      </c>
      <c r="P328" s="22">
        <f>((((B327-P327)^2+(B328-P327)^2+(B329-P327)^2+(B330-P327)^2+(B331-P327)^2+(B332-P327)^2+(B333-P327)^2+(B334-P327)^2+(B335-P327)^2+(B336-P327)^2+(B337-P327)^2+(B338-P327)^2))/(12-1))^0.5</f>
        <v>55.152655915608037</v>
      </c>
      <c r="Q328" s="89">
        <v>59.5</v>
      </c>
      <c r="R328" s="89"/>
      <c r="S328" s="10"/>
      <c r="T328" s="10"/>
      <c r="U328" s="10"/>
      <c r="V328" s="5"/>
      <c r="W328" s="5"/>
    </row>
    <row r="329" spans="1:23" x14ac:dyDescent="0.25">
      <c r="A329" s="22" t="s">
        <v>2</v>
      </c>
      <c r="B329" s="10">
        <v>133.19999999999999</v>
      </c>
      <c r="C329" s="10"/>
      <c r="D329" s="70">
        <v>8596</v>
      </c>
      <c r="E329" s="10"/>
      <c r="F329" s="10"/>
      <c r="G329" s="74">
        <f>(5.01*(B329^0.59)*$Z$45)/(86.4*I$13)</f>
        <v>116.97441355135678</v>
      </c>
      <c r="H329" s="74">
        <f t="shared" si="112"/>
        <v>9.07529953921801</v>
      </c>
      <c r="I329" s="22">
        <f t="shared" si="113"/>
        <v>8.2542364090080811E-2</v>
      </c>
      <c r="J329" s="32">
        <v>4.7</v>
      </c>
      <c r="K329" s="22" t="s">
        <v>72</v>
      </c>
      <c r="L329" s="10">
        <f>EXP(1)</f>
        <v>2.7182818284590451</v>
      </c>
      <c r="M329" s="22">
        <f t="shared" si="115"/>
        <v>92.387034622450045</v>
      </c>
      <c r="N329" s="10">
        <f t="shared" si="114"/>
        <v>1.7564075023279475</v>
      </c>
      <c r="O329" s="22"/>
      <c r="P329" s="22"/>
      <c r="Q329" s="89">
        <v>52.6</v>
      </c>
      <c r="R329" s="89"/>
      <c r="S329" s="10"/>
      <c r="T329" s="10"/>
      <c r="U329" s="10"/>
      <c r="V329" s="5"/>
      <c r="W329" s="5"/>
    </row>
    <row r="330" spans="1:23" x14ac:dyDescent="0.25">
      <c r="A330" s="22" t="s">
        <v>3</v>
      </c>
      <c r="B330" s="10">
        <v>165.3</v>
      </c>
      <c r="C330" s="10"/>
      <c r="D330" s="70">
        <v>8996</v>
      </c>
      <c r="E330" s="10"/>
      <c r="F330" s="10"/>
      <c r="G330" s="74">
        <f>(5.01*(B330^0.59)*$Z$45)/(86.4*I$14)</f>
        <v>137.295026933196</v>
      </c>
      <c r="H330" s="74">
        <f t="shared" si="112"/>
        <v>7.1239463088638697</v>
      </c>
      <c r="I330" s="22">
        <f t="shared" si="113"/>
        <v>6.4794265736720494E-2</v>
      </c>
      <c r="J330" s="32">
        <v>4.7</v>
      </c>
      <c r="K330" s="22"/>
      <c r="L330" s="22"/>
      <c r="M330" s="22">
        <f t="shared" si="115"/>
        <v>124.48703462245007</v>
      </c>
      <c r="N330" s="10">
        <f t="shared" si="114"/>
        <v>1.8976682107080804</v>
      </c>
      <c r="O330" s="22"/>
      <c r="P330" s="22"/>
      <c r="Q330" s="89">
        <v>65.599999999999994</v>
      </c>
      <c r="R330" s="89"/>
      <c r="S330" s="10"/>
      <c r="T330" s="10"/>
      <c r="U330" s="10"/>
      <c r="V330" s="5"/>
      <c r="W330" s="5"/>
    </row>
    <row r="331" spans="1:23" x14ac:dyDescent="0.25">
      <c r="A331" s="22" t="s">
        <v>4</v>
      </c>
      <c r="B331" s="10">
        <v>49.3</v>
      </c>
      <c r="C331" s="10"/>
      <c r="D331" s="70">
        <v>5311</v>
      </c>
      <c r="E331" s="10"/>
      <c r="F331" s="10"/>
      <c r="G331" s="74">
        <f>(5.01*(B331^0.59)*$Z$45)/(86.4*I$15)</f>
        <v>65.074833599680105</v>
      </c>
      <c r="H331" s="74">
        <f t="shared" si="112"/>
        <v>146.96654068323559</v>
      </c>
      <c r="I331" s="22">
        <f t="shared" si="113"/>
        <v>1.336701412191692</v>
      </c>
      <c r="J331" s="32">
        <v>4.7</v>
      </c>
      <c r="K331" s="22" t="s">
        <v>77</v>
      </c>
      <c r="L331" s="22">
        <v>86400</v>
      </c>
      <c r="M331" s="22">
        <f t="shared" si="115"/>
        <v>8.4870346224500537</v>
      </c>
      <c r="N331" s="10">
        <f t="shared" si="114"/>
        <v>0.13158193213100858</v>
      </c>
      <c r="O331" s="22"/>
      <c r="P331" s="22"/>
      <c r="Q331" s="89">
        <v>64.5</v>
      </c>
      <c r="R331" s="89"/>
      <c r="S331" s="10"/>
      <c r="T331" s="10"/>
      <c r="U331" s="10"/>
      <c r="V331" s="5"/>
      <c r="W331" s="5"/>
    </row>
    <row r="332" spans="1:23" x14ac:dyDescent="0.25">
      <c r="A332" s="22" t="s">
        <v>5</v>
      </c>
      <c r="B332" s="10">
        <v>73.5</v>
      </c>
      <c r="C332" s="10"/>
      <c r="D332" s="70">
        <v>4992</v>
      </c>
      <c r="E332" s="10"/>
      <c r="F332" s="10"/>
      <c r="G332" s="74">
        <f>(5.01*(B332^0.59)*$Z$45)/(86.4*I$16)</f>
        <v>85.110541387061133</v>
      </c>
      <c r="H332" s="74">
        <f t="shared" si="112"/>
        <v>31.704987343215922</v>
      </c>
      <c r="I332" s="22">
        <f t="shared" si="113"/>
        <v>0.64176954619173165</v>
      </c>
      <c r="J332" s="32">
        <v>3.9</v>
      </c>
      <c r="K332" s="22" t="s">
        <v>78</v>
      </c>
      <c r="L332" s="22">
        <f>L331*15</f>
        <v>1296000</v>
      </c>
      <c r="M332" s="22">
        <f t="shared" si="115"/>
        <v>32.687034622450057</v>
      </c>
      <c r="N332" s="10">
        <f t="shared" si="114"/>
        <v>0.55970949695976124</v>
      </c>
      <c r="O332" s="22" t="s">
        <v>67</v>
      </c>
      <c r="P332" s="22">
        <v>0.65</v>
      </c>
      <c r="Q332" s="89">
        <v>58.4</v>
      </c>
      <c r="R332" s="89"/>
      <c r="S332" s="10"/>
      <c r="T332" s="10"/>
      <c r="U332" s="10"/>
      <c r="V332" s="5"/>
      <c r="W332" s="5"/>
    </row>
    <row r="333" spans="1:23" x14ac:dyDescent="0.25">
      <c r="A333" s="22" t="s">
        <v>6</v>
      </c>
      <c r="B333" s="10">
        <v>12.3</v>
      </c>
      <c r="C333" s="10"/>
      <c r="D333" s="70">
        <v>2364</v>
      </c>
      <c r="E333" s="10"/>
      <c r="F333" s="10"/>
      <c r="G333" s="74">
        <f>(5.01*(B333^0.59)*$Z$45)/(86.4*I$17)</f>
        <v>28.686489155989513</v>
      </c>
      <c r="H333" s="74">
        <f t="shared" si="112"/>
        <v>43.380546117848098</v>
      </c>
      <c r="I333" s="22">
        <f t="shared" si="113"/>
        <v>3.9353943563881844</v>
      </c>
      <c r="J333" s="32">
        <v>2.4</v>
      </c>
      <c r="K333" s="22"/>
      <c r="L333" s="22"/>
      <c r="M333" s="22">
        <f t="shared" si="115"/>
        <v>-28.512965377549943</v>
      </c>
      <c r="N333" s="10">
        <f t="shared" si="114"/>
        <v>-0.49847841569143253</v>
      </c>
      <c r="O333" s="22" t="s">
        <v>68</v>
      </c>
      <c r="P333" s="22">
        <v>0.45</v>
      </c>
      <c r="Q333" s="89">
        <v>57.2</v>
      </c>
      <c r="R333" s="89"/>
      <c r="S333" s="10"/>
      <c r="T333" s="10"/>
      <c r="U333" s="10"/>
      <c r="V333" s="5"/>
      <c r="W333" s="5"/>
    </row>
    <row r="334" spans="1:23" x14ac:dyDescent="0.25">
      <c r="A334" s="22" t="s">
        <v>7</v>
      </c>
      <c r="B334" s="10">
        <v>19.899999999999999</v>
      </c>
      <c r="C334" s="10"/>
      <c r="D334" s="70">
        <v>1895</v>
      </c>
      <c r="E334" s="10"/>
      <c r="F334" s="10"/>
      <c r="G334" s="74">
        <f>(5.01*(B334^0.59)*$Z$45)/(86.4*I$18)</f>
        <v>38.102783138720795</v>
      </c>
      <c r="H334" s="74">
        <f t="shared" si="112"/>
        <v>9.4777207096775307</v>
      </c>
      <c r="I334" s="22">
        <f t="shared" si="113"/>
        <v>3.1548591636181191</v>
      </c>
      <c r="J334" s="32">
        <v>1.1000000000000001</v>
      </c>
      <c r="K334" s="22"/>
      <c r="L334" s="22"/>
      <c r="M334" s="22">
        <f t="shared" si="115"/>
        <v>-20.912965377549945</v>
      </c>
      <c r="N334" s="10">
        <f t="shared" si="114"/>
        <v>-0.36948702080476936</v>
      </c>
      <c r="O334" s="22" t="s">
        <v>69</v>
      </c>
      <c r="P334" s="22">
        <f>-1+(EXP(1)*(0.5*P335))</f>
        <v>3.0774227426885679</v>
      </c>
      <c r="Q334" s="89">
        <v>56.6</v>
      </c>
      <c r="R334" s="89"/>
      <c r="S334" s="10"/>
      <c r="T334" s="10"/>
      <c r="U334" s="10"/>
      <c r="V334" s="5"/>
      <c r="W334" s="5"/>
    </row>
    <row r="335" spans="1:23" x14ac:dyDescent="0.25">
      <c r="A335" s="22" t="s">
        <v>8</v>
      </c>
      <c r="B335" s="10">
        <v>125.6</v>
      </c>
      <c r="C335" s="10"/>
      <c r="D335" s="58">
        <v>6.56</v>
      </c>
      <c r="E335" s="10"/>
      <c r="F335" s="10"/>
      <c r="G335" s="74">
        <f>(5.01*(B335^0.59)*$Z$45)/(86.4*I$19)</f>
        <v>116.7555973811543</v>
      </c>
      <c r="H335" s="74">
        <f t="shared" si="112"/>
        <v>0.36006216984372963</v>
      </c>
      <c r="I335" s="22">
        <f t="shared" si="113"/>
        <v>0.11985428467456538</v>
      </c>
      <c r="J335" s="32">
        <v>1.1000000000000001</v>
      </c>
      <c r="K335" s="22"/>
      <c r="L335" s="22"/>
      <c r="M335" s="22">
        <f t="shared" si="115"/>
        <v>84.787034622450051</v>
      </c>
      <c r="N335" s="10">
        <f t="shared" si="114"/>
        <v>1.5387846573947377</v>
      </c>
      <c r="O335" s="22" t="s">
        <v>74</v>
      </c>
      <c r="P335" s="22">
        <v>3</v>
      </c>
      <c r="Q335" s="89">
        <v>55.1</v>
      </c>
      <c r="R335" s="89"/>
      <c r="S335" s="10"/>
      <c r="T335" s="10"/>
      <c r="U335" s="10"/>
      <c r="V335" s="5"/>
      <c r="W335" s="5"/>
    </row>
    <row r="336" spans="1:23" ht="18.75" x14ac:dyDescent="0.3">
      <c r="A336" s="22" t="s">
        <v>9</v>
      </c>
      <c r="B336" s="10">
        <v>121.8</v>
      </c>
      <c r="C336" s="10"/>
      <c r="D336" s="70">
        <v>7544</v>
      </c>
      <c r="E336" s="10"/>
      <c r="F336" s="10"/>
      <c r="G336" s="74">
        <f>(5.01*(B336^0.59)*$Z$45)/(86.4*I$20)</f>
        <v>110.95970258436077</v>
      </c>
      <c r="H336" s="74">
        <f t="shared" si="112"/>
        <v>1.7074131424732573</v>
      </c>
      <c r="I336" s="22">
        <f t="shared" si="113"/>
        <v>0.15489302570461957</v>
      </c>
      <c r="J336" s="32">
        <v>2.4</v>
      </c>
      <c r="K336" s="22"/>
      <c r="L336" s="22"/>
      <c r="M336" s="22">
        <f t="shared" si="115"/>
        <v>80.987034622450054</v>
      </c>
      <c r="N336" s="10">
        <f t="shared" si="114"/>
        <v>1.3891429609339632</v>
      </c>
      <c r="O336" s="45" t="s">
        <v>75</v>
      </c>
      <c r="P336" s="10"/>
      <c r="Q336" s="89">
        <v>58.3</v>
      </c>
      <c r="R336" s="89"/>
      <c r="S336" s="10"/>
      <c r="T336" s="10"/>
      <c r="U336" s="10"/>
      <c r="V336" s="5"/>
      <c r="W336" s="5"/>
    </row>
    <row r="337" spans="1:23" x14ac:dyDescent="0.25">
      <c r="A337" s="22" t="s">
        <v>10</v>
      </c>
      <c r="B337" s="10">
        <v>88.1</v>
      </c>
      <c r="C337" s="10"/>
      <c r="D337" s="58">
        <v>6.44</v>
      </c>
      <c r="E337" s="10"/>
      <c r="F337" s="10"/>
      <c r="G337" s="74">
        <f>(5.01*(B337^0.59)*$Z$45)/(86.4*I$21)</f>
        <v>94.713003493513384</v>
      </c>
      <c r="H337" s="74">
        <f t="shared" si="112"/>
        <v>21.047317602161396</v>
      </c>
      <c r="I337" s="22">
        <f t="shared" si="113"/>
        <v>0.42603793907467497</v>
      </c>
      <c r="J337" s="32">
        <v>3.9</v>
      </c>
      <c r="K337" s="22"/>
      <c r="L337" s="22"/>
      <c r="M337" s="22">
        <f t="shared" si="115"/>
        <v>47.287034622450051</v>
      </c>
      <c r="N337" s="10">
        <f t="shared" si="114"/>
        <v>0.79876747673057513</v>
      </c>
      <c r="O337" s="10"/>
      <c r="P337" s="22"/>
      <c r="Q337" s="89">
        <v>59.2</v>
      </c>
      <c r="R337" s="89"/>
      <c r="S337" s="10"/>
      <c r="T337" s="10"/>
      <c r="U337" s="10"/>
      <c r="V337" s="5"/>
      <c r="W337" s="5"/>
    </row>
    <row r="338" spans="1:23" x14ac:dyDescent="0.25">
      <c r="A338" s="22" t="s">
        <v>11</v>
      </c>
      <c r="B338" s="10">
        <v>164.1</v>
      </c>
      <c r="C338" s="10"/>
      <c r="D338" s="70">
        <v>8494</v>
      </c>
      <c r="E338" s="10"/>
      <c r="F338" s="10"/>
      <c r="G338" s="74">
        <f>(5.01*(B338^0.59)*$Z$45)/(86.4*I$22)</f>
        <v>132.29622338634471</v>
      </c>
      <c r="H338" s="74">
        <f t="shared" si="112"/>
        <v>2.9692046900613294</v>
      </c>
      <c r="I338" s="22">
        <f t="shared" si="113"/>
        <v>6.0102378400689001E-2</v>
      </c>
      <c r="J338" s="32">
        <v>3.9</v>
      </c>
      <c r="K338" s="22"/>
      <c r="L338" s="22"/>
      <c r="M338" s="22">
        <f t="shared" si="115"/>
        <v>123.28703462245005</v>
      </c>
      <c r="N338" s="10">
        <f t="shared" si="114"/>
        <v>1.9415281042905519</v>
      </c>
      <c r="O338" s="22"/>
      <c r="P338" s="22"/>
      <c r="Q338" s="89">
        <v>63.5</v>
      </c>
      <c r="R338" s="89"/>
      <c r="S338" s="10"/>
      <c r="T338" s="10"/>
      <c r="U338" s="10"/>
      <c r="V338" s="5"/>
      <c r="W338" s="5"/>
    </row>
    <row r="339" spans="1:23" x14ac:dyDescent="0.25">
      <c r="A339" s="22" t="s">
        <v>12</v>
      </c>
      <c r="B339" s="22">
        <v>2000</v>
      </c>
      <c r="C339" s="22">
        <v>2000</v>
      </c>
      <c r="D339" s="56">
        <v>2000</v>
      </c>
      <c r="E339" s="22">
        <v>2000</v>
      </c>
      <c r="F339" s="22">
        <v>2000</v>
      </c>
      <c r="G339" s="56">
        <v>2000</v>
      </c>
      <c r="H339" s="56">
        <v>2000</v>
      </c>
      <c r="I339" s="22">
        <v>2000</v>
      </c>
      <c r="J339" s="47" t="s">
        <v>70</v>
      </c>
      <c r="K339" s="49" t="s">
        <v>61</v>
      </c>
      <c r="L339" s="49" t="s">
        <v>62</v>
      </c>
      <c r="M339" s="39" t="s">
        <v>60</v>
      </c>
      <c r="N339" s="39" t="s">
        <v>73</v>
      </c>
      <c r="O339" s="105" t="s">
        <v>57</v>
      </c>
      <c r="P339" s="105"/>
      <c r="Q339" s="10"/>
      <c r="R339" s="10"/>
      <c r="S339" s="10"/>
      <c r="T339" s="10"/>
      <c r="U339" s="10"/>
      <c r="V339" s="5"/>
      <c r="W339" s="5"/>
    </row>
    <row r="340" spans="1:23" x14ac:dyDescent="0.25">
      <c r="A340" s="22" t="s">
        <v>0</v>
      </c>
      <c r="B340" s="10">
        <v>131.6</v>
      </c>
      <c r="C340" s="10"/>
      <c r="D340" s="70">
        <v>8209</v>
      </c>
      <c r="E340" s="10"/>
      <c r="F340" s="10"/>
      <c r="G340" s="74">
        <f>(5.01*(B340^0.59)*$Z$45)/(86.4*I$11)</f>
        <v>116.14335268570753</v>
      </c>
      <c r="H340" s="74">
        <f t="shared" ref="H340:H351" si="116">L$30^(J340-(0.6458446*LN(P$34))-(9.53942*N340*(P$34/P$33))+(4.8904*N340))</f>
        <v>15.648386784210793</v>
      </c>
      <c r="I340" s="22">
        <f t="shared" ref="I340:I351" si="117">L$30^(K$28-(0.6458446*LN(P$34))-(9.53942*N340*(P$34/P$33))+(4.8904*N340))</f>
        <v>0.14232641399691323</v>
      </c>
      <c r="J340" s="32">
        <v>4.7</v>
      </c>
      <c r="K340" s="22">
        <f>(10^-8)*((P347/P346)^-7.2474)</f>
        <v>8.8839224002565862E-15</v>
      </c>
      <c r="L340" s="22">
        <f>(-3.2951*(P346/P345))+5.33</f>
        <v>3.0487769230769231</v>
      </c>
      <c r="M340" s="22">
        <f>(B340-(0.74*P$341))</f>
        <v>94.078771401843028</v>
      </c>
      <c r="N340" s="10">
        <f t="shared" ref="N340:N351" si="118">M340/Q340</f>
        <v>1.4385133241872021</v>
      </c>
      <c r="O340" s="22" t="s">
        <v>58</v>
      </c>
      <c r="P340" s="22">
        <f>(B340+B341+B342+B343+B344+B345+B346+B347+B348+B349+B350+B351)/12</f>
        <v>76.51666666666668</v>
      </c>
      <c r="Q340" s="89">
        <v>65.400000000000006</v>
      </c>
      <c r="R340" s="89"/>
      <c r="S340" s="10"/>
      <c r="T340" s="10"/>
      <c r="U340" s="10"/>
      <c r="V340" s="5"/>
      <c r="W340" s="5"/>
    </row>
    <row r="341" spans="1:23" x14ac:dyDescent="0.25">
      <c r="A341" s="22" t="s">
        <v>1</v>
      </c>
      <c r="B341" s="10">
        <v>119.5</v>
      </c>
      <c r="C341" s="10"/>
      <c r="D341" s="70">
        <v>7601</v>
      </c>
      <c r="E341" s="10"/>
      <c r="F341" s="10"/>
      <c r="G341" s="74">
        <f>(5.01*(B341^0.59)*$Z$45)/(86.4*J$12)</f>
        <v>117.28545147393555</v>
      </c>
      <c r="H341" s="74">
        <f t="shared" si="116"/>
        <v>17.364512832484657</v>
      </c>
      <c r="I341" s="22">
        <f t="shared" si="117"/>
        <v>0.15793505594740237</v>
      </c>
      <c r="J341" s="32">
        <v>4.7</v>
      </c>
      <c r="K341" s="22"/>
      <c r="L341" s="22"/>
      <c r="M341" s="22">
        <f t="shared" ref="M341:M351" si="119">(B341-(0.74*P$341))</f>
        <v>81.978771401843034</v>
      </c>
      <c r="N341" s="10">
        <f t="shared" si="118"/>
        <v>1.3777944773418997</v>
      </c>
      <c r="O341" s="22" t="s">
        <v>66</v>
      </c>
      <c r="P341" s="22">
        <f>((((B340-P340)^2+(B341-P340)^2+(B342-P340)^2+(B343-P340)^2+(B344-P340)^2+(B345-P340)^2+(B346-P340)^2+(B347-P340)^2+(B348-P340)^2+(B349-P340)^2+(B350-P340)^2+(B351-P340)^2))/(12-1))^0.5</f>
        <v>50.704362970482379</v>
      </c>
      <c r="Q341" s="89">
        <v>59.5</v>
      </c>
      <c r="R341" s="89"/>
      <c r="S341" s="10"/>
      <c r="T341" s="10"/>
      <c r="U341" s="10"/>
      <c r="V341" s="5"/>
      <c r="W341" s="5"/>
    </row>
    <row r="342" spans="1:23" x14ac:dyDescent="0.25">
      <c r="A342" s="22" t="s">
        <v>2</v>
      </c>
      <c r="B342" s="10">
        <v>145.9</v>
      </c>
      <c r="C342" s="10"/>
      <c r="D342" s="70">
        <v>8491</v>
      </c>
      <c r="E342" s="10"/>
      <c r="F342" s="10"/>
      <c r="G342" s="74">
        <f>(5.01*(B342^0.59)*$Z$45)/(86.4*I$13)</f>
        <v>123.43149980831402</v>
      </c>
      <c r="H342" s="74">
        <f t="shared" si="116"/>
        <v>5.3898277252462039</v>
      </c>
      <c r="I342" s="22">
        <f t="shared" si="117"/>
        <v>4.9021976691517435E-2</v>
      </c>
      <c r="J342" s="32">
        <v>4.7</v>
      </c>
      <c r="K342" s="22" t="s">
        <v>72</v>
      </c>
      <c r="L342" s="10">
        <f>EXP(1)</f>
        <v>2.7182818284590451</v>
      </c>
      <c r="M342" s="22">
        <f t="shared" si="119"/>
        <v>108.37877140184304</v>
      </c>
      <c r="N342" s="10">
        <f t="shared" si="118"/>
        <v>2.0604329163848485</v>
      </c>
      <c r="O342" s="22"/>
      <c r="P342" s="22"/>
      <c r="Q342" s="89">
        <v>52.6</v>
      </c>
      <c r="R342" s="89"/>
      <c r="S342" s="10"/>
      <c r="T342" s="10"/>
      <c r="U342" s="10"/>
      <c r="V342" s="5"/>
      <c r="W342" s="5"/>
    </row>
    <row r="343" spans="1:23" x14ac:dyDescent="0.25">
      <c r="A343" s="22" t="s">
        <v>3</v>
      </c>
      <c r="B343" s="10">
        <v>138.1</v>
      </c>
      <c r="C343" s="10"/>
      <c r="D343" s="70">
        <v>8194</v>
      </c>
      <c r="E343" s="10"/>
      <c r="F343" s="10"/>
      <c r="G343" s="74">
        <f>(5.01*(B343^0.59)*$Z$45)/(86.4*I$14)</f>
        <v>123.47757547402564</v>
      </c>
      <c r="H343" s="74">
        <f t="shared" si="116"/>
        <v>13.30407330250306</v>
      </c>
      <c r="I343" s="22">
        <f t="shared" si="117"/>
        <v>0.12100423326753967</v>
      </c>
      <c r="J343" s="32">
        <v>4.7</v>
      </c>
      <c r="K343" s="22"/>
      <c r="L343" s="22"/>
      <c r="M343" s="22">
        <f t="shared" si="119"/>
        <v>100.57877140184303</v>
      </c>
      <c r="N343" s="10">
        <f t="shared" si="118"/>
        <v>1.5332129786866318</v>
      </c>
      <c r="O343" s="22"/>
      <c r="P343" s="22"/>
      <c r="Q343" s="89">
        <v>65.599999999999994</v>
      </c>
      <c r="R343" s="89"/>
      <c r="S343" s="10"/>
      <c r="T343" s="10"/>
      <c r="U343" s="10"/>
      <c r="V343" s="5"/>
      <c r="W343" s="5"/>
    </row>
    <row r="344" spans="1:23" x14ac:dyDescent="0.25">
      <c r="A344" s="22" t="s">
        <v>4</v>
      </c>
      <c r="B344" s="10">
        <v>113.7</v>
      </c>
      <c r="C344" s="10"/>
      <c r="D344" s="70">
        <v>7401</v>
      </c>
      <c r="E344" s="10"/>
      <c r="F344" s="10"/>
      <c r="G344" s="74">
        <f>(5.01*(B344^0.59)*$Z$45)/(86.4*I$15)</f>
        <v>106.54475082697662</v>
      </c>
      <c r="H344" s="74">
        <f t="shared" si="116"/>
        <v>24.326936563555979</v>
      </c>
      <c r="I344" s="22">
        <f t="shared" si="117"/>
        <v>0.22126022908091933</v>
      </c>
      <c r="J344" s="32">
        <v>4.7</v>
      </c>
      <c r="K344" s="22" t="s">
        <v>77</v>
      </c>
      <c r="L344" s="22">
        <v>86400</v>
      </c>
      <c r="M344" s="22">
        <f t="shared" si="119"/>
        <v>76.178771401843051</v>
      </c>
      <c r="N344" s="10">
        <f t="shared" si="118"/>
        <v>1.1810662232843885</v>
      </c>
      <c r="O344" s="22"/>
      <c r="P344" s="22"/>
      <c r="Q344" s="89">
        <v>64.5</v>
      </c>
      <c r="R344" s="89"/>
      <c r="S344" s="10"/>
      <c r="T344" s="10"/>
      <c r="U344" s="10"/>
      <c r="V344" s="5"/>
      <c r="W344" s="5"/>
    </row>
    <row r="345" spans="1:23" x14ac:dyDescent="0.25">
      <c r="A345" s="22" t="s">
        <v>5</v>
      </c>
      <c r="B345" s="10">
        <v>54</v>
      </c>
      <c r="C345" s="10"/>
      <c r="D345" s="70">
        <v>4946</v>
      </c>
      <c r="E345" s="10"/>
      <c r="F345" s="10"/>
      <c r="G345" s="74">
        <f>(5.01*(B345^0.59)*$Z$45)/(86.4*I$16)</f>
        <v>70.955512510780764</v>
      </c>
      <c r="H345" s="74">
        <f t="shared" si="116"/>
        <v>51.01520660546327</v>
      </c>
      <c r="I345" s="22">
        <f t="shared" si="117"/>
        <v>1.0326452944972129</v>
      </c>
      <c r="J345" s="32">
        <v>3.9</v>
      </c>
      <c r="K345" s="22" t="s">
        <v>78</v>
      </c>
      <c r="L345" s="22">
        <f>L344*15</f>
        <v>1296000</v>
      </c>
      <c r="M345" s="22">
        <f t="shared" si="119"/>
        <v>16.478771401843041</v>
      </c>
      <c r="N345" s="10">
        <f t="shared" si="118"/>
        <v>0.28217074318224383</v>
      </c>
      <c r="O345" s="22" t="s">
        <v>67</v>
      </c>
      <c r="P345" s="22">
        <v>0.65</v>
      </c>
      <c r="Q345" s="89">
        <v>58.4</v>
      </c>
      <c r="R345" s="89"/>
      <c r="S345" s="10"/>
      <c r="T345" s="10"/>
      <c r="U345" s="10"/>
      <c r="V345" s="5"/>
      <c r="W345" s="5"/>
    </row>
    <row r="346" spans="1:23" x14ac:dyDescent="0.25">
      <c r="A346" s="22" t="s">
        <v>6</v>
      </c>
      <c r="B346" s="10">
        <v>24.2</v>
      </c>
      <c r="C346" s="10"/>
      <c r="D346" s="70">
        <v>2834</v>
      </c>
      <c r="E346" s="10"/>
      <c r="F346" s="10"/>
      <c r="G346" s="74">
        <f>(5.01*(B346^0.59)*$Z$45)/(86.4*I$17)</f>
        <v>42.764603507739899</v>
      </c>
      <c r="H346" s="74">
        <f t="shared" si="116"/>
        <v>27.517980056756038</v>
      </c>
      <c r="I346" s="22">
        <f t="shared" si="117"/>
        <v>2.4963748294078028</v>
      </c>
      <c r="J346" s="32">
        <v>2.4</v>
      </c>
      <c r="K346" s="22"/>
      <c r="L346" s="22"/>
      <c r="M346" s="22">
        <f t="shared" si="119"/>
        <v>-13.32122859815696</v>
      </c>
      <c r="N346" s="10">
        <f t="shared" si="118"/>
        <v>-0.23288861185589091</v>
      </c>
      <c r="O346" s="22" t="s">
        <v>68</v>
      </c>
      <c r="P346" s="22">
        <v>0.45</v>
      </c>
      <c r="Q346" s="89">
        <v>57.2</v>
      </c>
      <c r="R346" s="89"/>
      <c r="S346" s="10"/>
      <c r="T346" s="10"/>
      <c r="U346" s="10"/>
      <c r="V346" s="5"/>
      <c r="W346" s="5"/>
    </row>
    <row r="347" spans="1:23" x14ac:dyDescent="0.25">
      <c r="A347" s="22" t="s">
        <v>7</v>
      </c>
      <c r="B347" s="10">
        <v>7.6</v>
      </c>
      <c r="C347" s="10"/>
      <c r="D347" s="70">
        <v>1362</v>
      </c>
      <c r="E347" s="10"/>
      <c r="F347" s="10"/>
      <c r="G347" s="74">
        <f>(5.01*(B347^0.59)*$Z$45)/(86.4*I$18)</f>
        <v>21.593020811644426</v>
      </c>
      <c r="H347" s="74">
        <f t="shared" si="116"/>
        <v>12.44985069413924</v>
      </c>
      <c r="I347" s="22">
        <f t="shared" si="117"/>
        <v>4.144195292437451</v>
      </c>
      <c r="J347" s="32">
        <v>1.1000000000000001</v>
      </c>
      <c r="K347" s="22"/>
      <c r="L347" s="22"/>
      <c r="M347" s="22">
        <f>(B347-(0.74*P$341))</f>
        <v>-29.921228598156958</v>
      </c>
      <c r="N347" s="10">
        <f t="shared" si="118"/>
        <v>-0.52864361480842681</v>
      </c>
      <c r="O347" s="22" t="s">
        <v>69</v>
      </c>
      <c r="P347" s="22">
        <f>-1+(EXP(1)*(0.5*P348))</f>
        <v>3.0774227426885679</v>
      </c>
      <c r="Q347" s="89">
        <v>56.6</v>
      </c>
      <c r="R347" s="89"/>
      <c r="S347" s="10"/>
      <c r="T347" s="10"/>
      <c r="U347" s="10"/>
      <c r="V347" s="5"/>
      <c r="W347" s="5"/>
    </row>
    <row r="348" spans="1:23" x14ac:dyDescent="0.25">
      <c r="A348" s="22" t="s">
        <v>8</v>
      </c>
      <c r="B348" s="10">
        <v>59.6</v>
      </c>
      <c r="C348" s="10"/>
      <c r="D348" s="70">
        <v>3825</v>
      </c>
      <c r="E348" s="10"/>
      <c r="F348" s="10"/>
      <c r="G348" s="74">
        <f>(5.01*(B348^0.59)*$Z$45)/(86.4*I$19)</f>
        <v>75.208879130477527</v>
      </c>
      <c r="H348" s="74">
        <f t="shared" si="116"/>
        <v>2.5319263372980192</v>
      </c>
      <c r="I348" s="22">
        <f t="shared" si="117"/>
        <v>0.84280506374010844</v>
      </c>
      <c r="J348" s="32">
        <v>1.1000000000000001</v>
      </c>
      <c r="K348" s="22"/>
      <c r="L348" s="22"/>
      <c r="M348" s="22">
        <f t="shared" si="119"/>
        <v>22.078771401843042</v>
      </c>
      <c r="N348" s="10">
        <f t="shared" si="118"/>
        <v>0.40070365520586282</v>
      </c>
      <c r="O348" s="22" t="s">
        <v>74</v>
      </c>
      <c r="P348" s="22">
        <v>3</v>
      </c>
      <c r="Q348" s="89">
        <v>55.1</v>
      </c>
      <c r="R348" s="89"/>
      <c r="S348" s="10"/>
      <c r="T348" s="10"/>
      <c r="U348" s="10"/>
      <c r="V348" s="5"/>
      <c r="W348" s="5"/>
    </row>
    <row r="349" spans="1:23" ht="18.75" x14ac:dyDescent="0.3">
      <c r="A349" s="22" t="s">
        <v>9</v>
      </c>
      <c r="B349" s="10">
        <v>31.3</v>
      </c>
      <c r="C349" s="10"/>
      <c r="D349" s="70">
        <v>3159</v>
      </c>
      <c r="E349" s="10"/>
      <c r="F349" s="10"/>
      <c r="G349" s="74">
        <f>(5.01*(B349^0.59)*$Z$45)/(86.4*I$20)</f>
        <v>49.774229170713788</v>
      </c>
      <c r="H349" s="74">
        <f t="shared" si="116"/>
        <v>22.166763017617804</v>
      </c>
      <c r="I349" s="22">
        <f t="shared" si="117"/>
        <v>2.0109233720097461</v>
      </c>
      <c r="J349" s="32">
        <v>2.4</v>
      </c>
      <c r="K349" s="22"/>
      <c r="L349" s="22"/>
      <c r="M349" s="22">
        <f t="shared" si="119"/>
        <v>-6.2212285981569586</v>
      </c>
      <c r="N349" s="10">
        <f t="shared" si="118"/>
        <v>-0.10671061060303531</v>
      </c>
      <c r="O349" s="45" t="s">
        <v>75</v>
      </c>
      <c r="P349" s="10"/>
      <c r="Q349" s="89">
        <v>58.3</v>
      </c>
      <c r="R349" s="89"/>
      <c r="S349" s="10"/>
      <c r="T349" s="10"/>
      <c r="U349" s="10"/>
      <c r="V349" s="5"/>
      <c r="W349" s="5"/>
    </row>
    <row r="350" spans="1:23" x14ac:dyDescent="0.25">
      <c r="A350" s="22" t="s">
        <v>10</v>
      </c>
      <c r="B350" s="10">
        <v>21.2</v>
      </c>
      <c r="C350" s="10"/>
      <c r="D350" s="70">
        <v>2258</v>
      </c>
      <c r="E350" s="10"/>
      <c r="F350" s="10"/>
      <c r="G350" s="74">
        <f>(5.01*(B350^0.59)*$Z$45)/(86.4*I$21)</f>
        <v>40.870691053825617</v>
      </c>
      <c r="H350" s="74">
        <f t="shared" si="116"/>
        <v>132.71503572422523</v>
      </c>
      <c r="I350" s="22">
        <f t="shared" si="117"/>
        <v>2.68640600065656</v>
      </c>
      <c r="J350" s="32">
        <v>3.9</v>
      </c>
      <c r="K350" s="22"/>
      <c r="L350" s="22"/>
      <c r="M350" s="22">
        <f>(B350-(0.74*P$341))</f>
        <v>-16.32122859815696</v>
      </c>
      <c r="N350" s="10">
        <f t="shared" si="118"/>
        <v>-0.27569642902292163</v>
      </c>
      <c r="O350" s="10"/>
      <c r="P350" s="22"/>
      <c r="Q350" s="89">
        <v>59.2</v>
      </c>
      <c r="R350" s="89"/>
      <c r="S350" s="10"/>
      <c r="T350" s="10"/>
      <c r="U350" s="10"/>
      <c r="V350" s="5"/>
      <c r="W350" s="5"/>
    </row>
    <row r="351" spans="1:23" x14ac:dyDescent="0.25">
      <c r="A351" s="22" t="s">
        <v>11</v>
      </c>
      <c r="B351" s="10">
        <v>71.5</v>
      </c>
      <c r="C351" s="10"/>
      <c r="D351" s="70">
        <v>4426</v>
      </c>
      <c r="E351" s="10"/>
      <c r="F351" s="10"/>
      <c r="G351" s="74">
        <f>(5.01*(B351^0.59)*$Z$45)/(86.4*I$22)</f>
        <v>81.035244824695909</v>
      </c>
      <c r="H351" s="74">
        <f t="shared" si="116"/>
        <v>33.070849542537331</v>
      </c>
      <c r="I351" s="22">
        <f t="shared" si="117"/>
        <v>0.66941720787756764</v>
      </c>
      <c r="J351" s="32">
        <v>3.9</v>
      </c>
      <c r="K351" s="22"/>
      <c r="L351" s="22"/>
      <c r="M351" s="22">
        <f t="shared" si="119"/>
        <v>33.978771401843041</v>
      </c>
      <c r="N351" s="10">
        <f t="shared" si="118"/>
        <v>0.53509876223374864</v>
      </c>
      <c r="O351" s="22"/>
      <c r="P351" s="22"/>
      <c r="Q351" s="89">
        <v>63.5</v>
      </c>
      <c r="R351" s="89"/>
      <c r="S351" s="10"/>
      <c r="T351" s="10"/>
      <c r="U351" s="10"/>
      <c r="V351" s="5"/>
      <c r="W351" s="5"/>
    </row>
    <row r="352" spans="1:23" x14ac:dyDescent="0.25">
      <c r="A352" s="22" t="s">
        <v>12</v>
      </c>
      <c r="B352" s="22">
        <v>2001</v>
      </c>
      <c r="C352" s="22">
        <v>2001</v>
      </c>
      <c r="D352" s="56">
        <v>2001</v>
      </c>
      <c r="E352" s="22">
        <v>2001</v>
      </c>
      <c r="F352" s="22">
        <v>2001</v>
      </c>
      <c r="G352" s="56">
        <v>2001</v>
      </c>
      <c r="H352" s="56">
        <v>2001</v>
      </c>
      <c r="I352" s="22">
        <v>2001</v>
      </c>
      <c r="J352" s="47" t="s">
        <v>70</v>
      </c>
      <c r="K352" s="49" t="s">
        <v>61</v>
      </c>
      <c r="L352" s="49" t="s">
        <v>62</v>
      </c>
      <c r="M352" s="39" t="s">
        <v>60</v>
      </c>
      <c r="N352" s="39" t="s">
        <v>73</v>
      </c>
      <c r="O352" s="105" t="s">
        <v>57</v>
      </c>
      <c r="P352" s="105"/>
      <c r="Q352" s="10"/>
      <c r="R352" s="10"/>
      <c r="S352" s="10"/>
      <c r="T352" s="10"/>
      <c r="U352" s="10"/>
      <c r="V352" s="5"/>
      <c r="W352" s="5"/>
    </row>
    <row r="353" spans="1:23" x14ac:dyDescent="0.25">
      <c r="A353" s="22" t="s">
        <v>0</v>
      </c>
      <c r="B353" s="10">
        <v>84.7</v>
      </c>
      <c r="C353" s="10"/>
      <c r="D353" s="70">
        <v>5534</v>
      </c>
      <c r="E353" s="10"/>
      <c r="F353" s="10"/>
      <c r="G353" s="74">
        <f>(5.01*(B353^0.59)*$Z$45)/(86.4*I$11)</f>
        <v>89.553919015450347</v>
      </c>
      <c r="H353" s="74">
        <f t="shared" ref="H353:H364" si="120">L$30^(J353-(0.6458446*LN(P$34))-(9.53942*N353*(P$34/P$33))+(4.8904*N353))</f>
        <v>39.983581681006456</v>
      </c>
      <c r="I353" s="22">
        <f t="shared" ref="I353:I364" si="121">L$30^(K$28-(0.6458446*LN(P$34))-(9.53942*N353*(P$34/P$33))+(4.8904*N353))</f>
        <v>0.3636617549070455</v>
      </c>
      <c r="J353" s="32">
        <v>4.7</v>
      </c>
      <c r="K353" s="22">
        <f>(10^-8)*((P360/P359)^-7.2474)</f>
        <v>8.8839224002565862E-15</v>
      </c>
      <c r="L353" s="22">
        <f>(-3.2951*(P359/P358))+5.33</f>
        <v>3.0487769230769231</v>
      </c>
      <c r="M353" s="22">
        <f>(B353-(0.74*P$354))</f>
        <v>58.280361416575211</v>
      </c>
      <c r="N353" s="10">
        <f t="shared" ref="N353:N364" si="122">M353/Q353</f>
        <v>0.89113702471827527</v>
      </c>
      <c r="O353" s="22" t="s">
        <v>58</v>
      </c>
      <c r="P353" s="22">
        <f>(B353+B354+B355+B356+B357+B358+B359+B360+B361+B362+B363+B364)/12</f>
        <v>49.591666666666669</v>
      </c>
      <c r="Q353" s="89">
        <v>65.400000000000006</v>
      </c>
      <c r="R353" s="89"/>
      <c r="S353" s="10"/>
      <c r="T353" s="10"/>
      <c r="U353" s="10"/>
      <c r="V353" s="5"/>
      <c r="W353" s="5"/>
    </row>
    <row r="354" spans="1:23" x14ac:dyDescent="0.25">
      <c r="A354" s="22" t="s">
        <v>1</v>
      </c>
      <c r="B354" s="10">
        <v>51.2</v>
      </c>
      <c r="C354" s="10"/>
      <c r="D354" s="70">
        <v>4484</v>
      </c>
      <c r="E354" s="10"/>
      <c r="F354" s="10"/>
      <c r="G354" s="74">
        <f>(5.01*(B354^0.59)*$Z$45)/(86.4*I$12)</f>
        <v>73.672655374431514</v>
      </c>
      <c r="H354" s="74">
        <f t="shared" si="120"/>
        <v>90.192692820776799</v>
      </c>
      <c r="I354" s="22">
        <f t="shared" si="121"/>
        <v>0.82032753375310263</v>
      </c>
      <c r="J354" s="32">
        <v>4.7</v>
      </c>
      <c r="K354" s="22"/>
      <c r="L354" s="22"/>
      <c r="M354" s="22">
        <f t="shared" ref="M354:M364" si="123">(B354-(0.74*P$354))</f>
        <v>24.780361416575211</v>
      </c>
      <c r="N354" s="10">
        <f t="shared" si="122"/>
        <v>0.41647666246344894</v>
      </c>
      <c r="O354" s="22" t="s">
        <v>66</v>
      </c>
      <c r="P354" s="22">
        <f>((((B353-P353)^2+(B354-P353)^2+(B355-P353)^2+(B356-P353)^2+(B357-P353)^2+(B358-P353)^2+(B359-P353)^2+(B360-P353)^2+(B361-P353)^2+(B362-P353)^2+(B363-P353)^2+(B364-P353)^2))/(12-1))^0.5</f>
        <v>35.702214301925395</v>
      </c>
      <c r="Q354" s="89">
        <v>59.5</v>
      </c>
      <c r="R354" s="89"/>
      <c r="S354" s="10"/>
      <c r="T354" s="10"/>
      <c r="U354" s="10"/>
      <c r="V354" s="5"/>
      <c r="W354" s="5"/>
    </row>
    <row r="355" spans="1:23" x14ac:dyDescent="0.25">
      <c r="A355" s="22" t="s">
        <v>2</v>
      </c>
      <c r="B355" s="10">
        <v>102.4</v>
      </c>
      <c r="C355" s="10"/>
      <c r="D355" s="70">
        <v>6102</v>
      </c>
      <c r="E355" s="10"/>
      <c r="F355" s="10"/>
      <c r="G355" s="74">
        <f>(5.01*(B355^0.59)*$Z$45)/(86.4*I$13)</f>
        <v>100.16369988754793</v>
      </c>
      <c r="H355" s="74">
        <f t="shared" si="120"/>
        <v>15.488825285919477</v>
      </c>
      <c r="I355" s="22">
        <f t="shared" si="121"/>
        <v>0.14087515795519168</v>
      </c>
      <c r="J355" s="32">
        <v>4.7</v>
      </c>
      <c r="K355" s="22" t="s">
        <v>72</v>
      </c>
      <c r="L355" s="10">
        <f>EXP(1)</f>
        <v>2.7182818284590451</v>
      </c>
      <c r="M355" s="22">
        <f t="shared" si="123"/>
        <v>75.980361416575221</v>
      </c>
      <c r="N355" s="10">
        <f t="shared" si="122"/>
        <v>1.4444935630527609</v>
      </c>
      <c r="O355" s="22"/>
      <c r="P355" s="22"/>
      <c r="Q355" s="89">
        <v>52.6</v>
      </c>
      <c r="R355" s="89"/>
      <c r="S355" s="10"/>
      <c r="T355" s="10"/>
      <c r="U355" s="10"/>
      <c r="V355" s="5"/>
      <c r="W355" s="5"/>
    </row>
    <row r="356" spans="1:23" x14ac:dyDescent="0.25">
      <c r="A356" s="22" t="s">
        <v>3</v>
      </c>
      <c r="B356" s="10">
        <v>45.5</v>
      </c>
      <c r="C356" s="10"/>
      <c r="D356" s="70">
        <v>4371</v>
      </c>
      <c r="E356" s="10"/>
      <c r="F356" s="10"/>
      <c r="G356" s="74">
        <f>(5.01*(B356^0.59)*$Z$45)/(86.4*I$14)</f>
        <v>64.135804539494799</v>
      </c>
      <c r="H356" s="74">
        <f t="shared" si="120"/>
        <v>111.85835846413222</v>
      </c>
      <c r="I356" s="22">
        <f t="shared" si="121"/>
        <v>1.0173827663721136</v>
      </c>
      <c r="J356" s="32">
        <v>4.7</v>
      </c>
      <c r="K356" s="22"/>
      <c r="L356" s="22"/>
      <c r="M356" s="22">
        <f t="shared" si="123"/>
        <v>19.080361416575208</v>
      </c>
      <c r="N356" s="10">
        <f t="shared" si="122"/>
        <v>0.29085916793559768</v>
      </c>
      <c r="O356" s="22"/>
      <c r="P356" s="22"/>
      <c r="Q356" s="89">
        <v>65.599999999999994</v>
      </c>
      <c r="R356" s="89"/>
      <c r="S356" s="10"/>
      <c r="T356" s="10"/>
      <c r="U356" s="10"/>
      <c r="V356" s="5"/>
      <c r="W356" s="5"/>
    </row>
    <row r="357" spans="1:23" x14ac:dyDescent="0.25">
      <c r="A357" s="22" t="s">
        <v>4</v>
      </c>
      <c r="B357" s="10">
        <v>44.9</v>
      </c>
      <c r="C357" s="10"/>
      <c r="D357" s="70">
        <v>3645</v>
      </c>
      <c r="E357" s="10"/>
      <c r="F357" s="10"/>
      <c r="G357" s="74">
        <f>(5.01*(B357^0.59)*$Z$45)/(86.4*I$15)</f>
        <v>61.582699874747199</v>
      </c>
      <c r="H357" s="74">
        <f t="shared" si="120"/>
        <v>112.69383147929953</v>
      </c>
      <c r="I357" s="22">
        <f t="shared" si="121"/>
        <v>1.0249816249560491</v>
      </c>
      <c r="J357" s="32">
        <v>4.7</v>
      </c>
      <c r="K357" s="22" t="s">
        <v>77</v>
      </c>
      <c r="L357" s="22">
        <v>86400</v>
      </c>
      <c r="M357" s="22">
        <f t="shared" si="123"/>
        <v>18.480361416575207</v>
      </c>
      <c r="N357" s="10">
        <f t="shared" si="122"/>
        <v>0.28651723126473189</v>
      </c>
      <c r="O357" s="22"/>
      <c r="P357" s="22"/>
      <c r="Q357" s="89">
        <v>64.5</v>
      </c>
      <c r="R357" s="89"/>
      <c r="S357" s="10"/>
      <c r="T357" s="10"/>
      <c r="U357" s="10"/>
      <c r="V357" s="5"/>
      <c r="W357" s="5"/>
    </row>
    <row r="358" spans="1:23" x14ac:dyDescent="0.25">
      <c r="A358" s="22" t="s">
        <v>5</v>
      </c>
      <c r="B358" s="10">
        <v>6.1</v>
      </c>
      <c r="C358" s="10"/>
      <c r="D358" s="70">
        <v>1609</v>
      </c>
      <c r="E358" s="10"/>
      <c r="F358" s="10"/>
      <c r="G358" s="74">
        <f>(5.01*(B358^0.59)*$Z$45)/(86.4*I$16)</f>
        <v>19.59830109832836</v>
      </c>
      <c r="H358" s="74">
        <f t="shared" si="120"/>
        <v>150.20703688572843</v>
      </c>
      <c r="I358" s="22">
        <f t="shared" si="121"/>
        <v>3.0404775391776195</v>
      </c>
      <c r="J358" s="32">
        <v>3.9</v>
      </c>
      <c r="K358" s="22" t="s">
        <v>78</v>
      </c>
      <c r="L358" s="22">
        <f>L357*15</f>
        <v>1296000</v>
      </c>
      <c r="M358" s="22">
        <f t="shared" si="123"/>
        <v>-20.319638583424791</v>
      </c>
      <c r="N358" s="10">
        <f t="shared" si="122"/>
        <v>-0.3479390168394656</v>
      </c>
      <c r="O358" s="22" t="s">
        <v>67</v>
      </c>
      <c r="P358" s="22">
        <v>0.65</v>
      </c>
      <c r="Q358" s="89">
        <v>58.4</v>
      </c>
      <c r="R358" s="89"/>
      <c r="S358" s="10"/>
      <c r="T358" s="10"/>
      <c r="U358" s="10"/>
      <c r="V358" s="5"/>
      <c r="W358" s="5"/>
    </row>
    <row r="359" spans="1:23" x14ac:dyDescent="0.25">
      <c r="A359" s="22" t="s">
        <v>6</v>
      </c>
      <c r="B359" s="10">
        <v>22.1</v>
      </c>
      <c r="C359" s="10"/>
      <c r="D359" s="70">
        <v>1898</v>
      </c>
      <c r="E359" s="10"/>
      <c r="F359" s="10"/>
      <c r="G359" s="74">
        <f>(5.01*(B359^0.59)*$Z$45)/(86.4*I$17)</f>
        <v>40.534500473795561</v>
      </c>
      <c r="H359" s="74">
        <f t="shared" si="120"/>
        <v>21.012887644680387</v>
      </c>
      <c r="I359" s="22">
        <f t="shared" si="121"/>
        <v>1.9062461598258051</v>
      </c>
      <c r="J359" s="32">
        <v>2.4</v>
      </c>
      <c r="K359" s="22"/>
      <c r="L359" s="22"/>
      <c r="M359" s="22">
        <f t="shared" si="123"/>
        <v>-4.3196385834247906</v>
      </c>
      <c r="N359" s="10">
        <f t="shared" si="122"/>
        <v>-7.5518157052880952E-2</v>
      </c>
      <c r="O359" s="22" t="s">
        <v>68</v>
      </c>
      <c r="P359" s="22">
        <v>0.45</v>
      </c>
      <c r="Q359" s="89">
        <v>57.2</v>
      </c>
      <c r="R359" s="89"/>
      <c r="S359" s="10"/>
      <c r="T359" s="10"/>
      <c r="U359" s="10"/>
      <c r="V359" s="5"/>
      <c r="W359" s="5"/>
    </row>
    <row r="360" spans="1:23" x14ac:dyDescent="0.25">
      <c r="A360" s="22" t="s">
        <v>7</v>
      </c>
      <c r="B360" s="10">
        <v>0</v>
      </c>
      <c r="C360" s="10"/>
      <c r="D360" s="58">
        <v>0.80600000000000005</v>
      </c>
      <c r="E360" s="10"/>
      <c r="F360" s="10"/>
      <c r="G360" s="74">
        <f>(5.01*(B360^0.59)*$Z$45)/(86.4*I$18)</f>
        <v>0</v>
      </c>
      <c r="H360" s="74">
        <f t="shared" si="120"/>
        <v>11.197411076539918</v>
      </c>
      <c r="I360" s="22">
        <f t="shared" si="121"/>
        <v>3.7272943596607533</v>
      </c>
      <c r="J360" s="32">
        <v>1.1000000000000001</v>
      </c>
      <c r="K360" s="22"/>
      <c r="L360" s="22"/>
      <c r="M360" s="22">
        <f t="shared" si="123"/>
        <v>-26.419638583424792</v>
      </c>
      <c r="N360" s="10">
        <f t="shared" si="122"/>
        <v>-0.46677806684496098</v>
      </c>
      <c r="O360" s="22" t="s">
        <v>69</v>
      </c>
      <c r="P360" s="22">
        <f>-1+(EXP(1)*(0.5*P361))</f>
        <v>3.0774227426885679</v>
      </c>
      <c r="Q360" s="89">
        <v>56.6</v>
      </c>
      <c r="R360" s="89"/>
      <c r="S360" s="10"/>
      <c r="T360" s="10"/>
      <c r="U360" s="10"/>
      <c r="V360" s="5"/>
      <c r="W360" s="5"/>
    </row>
    <row r="361" spans="1:23" x14ac:dyDescent="0.25">
      <c r="A361" s="22" t="s">
        <v>8</v>
      </c>
      <c r="B361" s="10">
        <v>67.599999999999994</v>
      </c>
      <c r="C361" s="10"/>
      <c r="D361" s="70">
        <v>4061</v>
      </c>
      <c r="E361" s="10"/>
      <c r="F361" s="10"/>
      <c r="G361" s="74">
        <f>(5.01*(B361^0.59)*$Z$45)/(86.4*I$19)</f>
        <v>81.010697902830771</v>
      </c>
      <c r="H361" s="74">
        <f t="shared" si="120"/>
        <v>1.3977311209493797</v>
      </c>
      <c r="I361" s="22">
        <f t="shared" si="121"/>
        <v>0.46526427294895556</v>
      </c>
      <c r="J361" s="32">
        <v>1.1000000000000001</v>
      </c>
      <c r="K361" s="22"/>
      <c r="L361" s="22"/>
      <c r="M361" s="22">
        <f t="shared" si="123"/>
        <v>41.180361416575202</v>
      </c>
      <c r="N361" s="10">
        <f t="shared" si="122"/>
        <v>0.74737498033711802</v>
      </c>
      <c r="O361" s="22" t="s">
        <v>74</v>
      </c>
      <c r="P361" s="22">
        <v>3</v>
      </c>
      <c r="Q361" s="89">
        <v>55.1</v>
      </c>
      <c r="R361" s="89"/>
      <c r="S361" s="10"/>
      <c r="T361" s="10"/>
      <c r="U361" s="10"/>
      <c r="V361" s="5"/>
      <c r="W361" s="5"/>
    </row>
    <row r="362" spans="1:23" ht="18.75" x14ac:dyDescent="0.3">
      <c r="A362" s="22" t="s">
        <v>9</v>
      </c>
      <c r="B362" s="10">
        <v>4.2</v>
      </c>
      <c r="C362" s="10"/>
      <c r="D362" s="58">
        <v>1.77</v>
      </c>
      <c r="E362" s="10"/>
      <c r="F362" s="10"/>
      <c r="G362" s="74">
        <f>(5.01*(B362^0.59)*$Z$45)/(86.4*I$20)</f>
        <v>15.217750703361483</v>
      </c>
      <c r="H362" s="74">
        <f t="shared" si="120"/>
        <v>35.477215993871297</v>
      </c>
      <c r="I362" s="22">
        <f t="shared" si="121"/>
        <v>3.2184204233704432</v>
      </c>
      <c r="J362" s="32">
        <v>2.4</v>
      </c>
      <c r="K362" s="22"/>
      <c r="L362" s="22"/>
      <c r="M362" s="22">
        <f t="shared" si="123"/>
        <v>-22.219638583424793</v>
      </c>
      <c r="N362" s="10">
        <f t="shared" si="122"/>
        <v>-0.38112587621654875</v>
      </c>
      <c r="O362" s="45" t="s">
        <v>75</v>
      </c>
      <c r="P362" s="10"/>
      <c r="Q362" s="89">
        <v>58.3</v>
      </c>
      <c r="R362" s="89"/>
      <c r="S362" s="10"/>
      <c r="T362" s="10"/>
      <c r="U362" s="10"/>
      <c r="V362" s="5"/>
      <c r="W362" s="5"/>
    </row>
    <row r="363" spans="1:23" x14ac:dyDescent="0.25">
      <c r="A363" s="22" t="s">
        <v>10</v>
      </c>
      <c r="B363" s="10">
        <v>73</v>
      </c>
      <c r="C363" s="10"/>
      <c r="D363" s="58">
        <v>4.33</v>
      </c>
      <c r="E363" s="10"/>
      <c r="F363" s="10"/>
      <c r="G363" s="74">
        <f>(5.01*(B363^0.59)*$Z$45)/(86.4*I$21)</f>
        <v>84.768463344431609</v>
      </c>
      <c r="H363" s="74">
        <f t="shared" si="120"/>
        <v>21.482335639902942</v>
      </c>
      <c r="I363" s="22">
        <f t="shared" si="121"/>
        <v>0.43484353567196704</v>
      </c>
      <c r="J363" s="32">
        <v>3.9</v>
      </c>
      <c r="K363" s="22"/>
      <c r="L363" s="22"/>
      <c r="M363" s="22">
        <f t="shared" si="123"/>
        <v>46.580361416575208</v>
      </c>
      <c r="N363" s="10">
        <f t="shared" si="122"/>
        <v>0.78683042933404068</v>
      </c>
      <c r="O363" s="10"/>
      <c r="P363" s="22"/>
      <c r="Q363" s="89">
        <v>59.2</v>
      </c>
      <c r="R363" s="89"/>
      <c r="S363" s="10"/>
      <c r="T363" s="10"/>
      <c r="U363" s="10"/>
      <c r="V363" s="5"/>
      <c r="W363" s="5"/>
    </row>
    <row r="364" spans="1:23" x14ac:dyDescent="0.25">
      <c r="A364" s="22" t="s">
        <v>11</v>
      </c>
      <c r="B364" s="10">
        <v>93.4</v>
      </c>
      <c r="C364" s="10"/>
      <c r="D364" s="70">
        <v>5883</v>
      </c>
      <c r="E364" s="10"/>
      <c r="F364" s="10"/>
      <c r="G364" s="74">
        <f>(5.01*(B364^0.59)*$Z$45)/(86.4*I$22)</f>
        <v>94.871996682347245</v>
      </c>
      <c r="H364" s="74">
        <f t="shared" si="120"/>
        <v>13.571416954443769</v>
      </c>
      <c r="I364" s="22">
        <f t="shared" si="121"/>
        <v>0.27471142018594169</v>
      </c>
      <c r="J364" s="32">
        <v>3.9</v>
      </c>
      <c r="K364" s="22"/>
      <c r="L364" s="22"/>
      <c r="M364" s="22">
        <f t="shared" si="123"/>
        <v>66.980361416575221</v>
      </c>
      <c r="N364" s="10">
        <f t="shared" si="122"/>
        <v>1.0548088412059089</v>
      </c>
      <c r="O364" s="22"/>
      <c r="P364" s="22"/>
      <c r="Q364" s="89">
        <v>63.5</v>
      </c>
      <c r="R364" s="89"/>
      <c r="S364" s="10"/>
      <c r="T364" s="10"/>
      <c r="U364" s="10"/>
      <c r="V364" s="5"/>
      <c r="W364" s="5"/>
    </row>
    <row r="365" spans="1:23" x14ac:dyDescent="0.25">
      <c r="A365" s="22" t="s">
        <v>12</v>
      </c>
      <c r="B365" s="22">
        <v>2002</v>
      </c>
      <c r="C365" s="22">
        <v>2002</v>
      </c>
      <c r="D365" s="56">
        <v>2002</v>
      </c>
      <c r="E365" s="22">
        <v>2002</v>
      </c>
      <c r="F365" s="22">
        <v>2002</v>
      </c>
      <c r="G365" s="56">
        <v>2002</v>
      </c>
      <c r="H365" s="56">
        <v>2002</v>
      </c>
      <c r="I365" s="22">
        <v>2002</v>
      </c>
      <c r="J365" s="47" t="s">
        <v>70</v>
      </c>
      <c r="K365" s="49" t="s">
        <v>61</v>
      </c>
      <c r="L365" s="49" t="s">
        <v>62</v>
      </c>
      <c r="M365" s="39" t="s">
        <v>60</v>
      </c>
      <c r="N365" s="39" t="s">
        <v>73</v>
      </c>
      <c r="O365" s="105" t="s">
        <v>57</v>
      </c>
      <c r="P365" s="105"/>
      <c r="Q365" s="10"/>
      <c r="R365" s="10"/>
      <c r="S365" s="10"/>
      <c r="T365" s="10"/>
      <c r="U365" s="10"/>
      <c r="V365" s="5"/>
      <c r="W365" s="5"/>
    </row>
    <row r="366" spans="1:23" x14ac:dyDescent="0.25">
      <c r="A366" s="22" t="s">
        <v>0</v>
      </c>
      <c r="B366" s="10">
        <v>49.5</v>
      </c>
      <c r="C366" s="10"/>
      <c r="D366" s="70">
        <v>4465</v>
      </c>
      <c r="E366" s="10"/>
      <c r="F366" s="10"/>
      <c r="G366" s="74">
        <f>(5.01*(B366^0.59)*$Z$45)/(86.4*I$11)</f>
        <v>65.230461519878489</v>
      </c>
      <c r="H366" s="74">
        <f t="shared" ref="H366:H377" si="124">L$30^(J366-(0.6458446*LN(P$34))-(9.53942*N366*(P$34/P$33))+(4.8904*N366))</f>
        <v>146.0728590819119</v>
      </c>
      <c r="I366" s="22">
        <f t="shared" ref="I366:I377" si="125">L$30^(K$28-(0.6458446*LN(P$34))-(9.53942*N366*(P$34/P$33))+(4.8904*N366))</f>
        <v>1.3285731303869648</v>
      </c>
      <c r="J366" s="32">
        <v>4.7</v>
      </c>
      <c r="K366" s="22">
        <f>(10^-8)*((P373/P372)^-7.2474)</f>
        <v>8.8839224002565862E-15</v>
      </c>
      <c r="L366" s="22">
        <f>(-3.2951*(P372/P371))+5.33</f>
        <v>3.0487769230769231</v>
      </c>
      <c r="M366" s="22">
        <f>(B366-(0.74*P$367))</f>
        <v>8.8382150897072691</v>
      </c>
      <c r="N366" s="10">
        <f t="shared" ref="N366:N377" si="126">M366/Q366</f>
        <v>0.13514090351234356</v>
      </c>
      <c r="O366" s="22" t="s">
        <v>58</v>
      </c>
      <c r="P366" s="22">
        <f>(B366+B367+B368+B369+B370+B371+B372+B373+B374+B375+B376+B377)/12</f>
        <v>72.774999999999991</v>
      </c>
      <c r="Q366" s="89">
        <v>65.400000000000006</v>
      </c>
      <c r="R366" s="89"/>
      <c r="S366" s="10"/>
      <c r="T366" s="10"/>
      <c r="U366" s="10"/>
      <c r="V366" s="5"/>
      <c r="W366" s="5"/>
    </row>
    <row r="367" spans="1:23" x14ac:dyDescent="0.25">
      <c r="A367" s="22" t="s">
        <v>1</v>
      </c>
      <c r="B367" s="10">
        <v>43</v>
      </c>
      <c r="C367" s="10"/>
      <c r="D367" s="70">
        <v>3633</v>
      </c>
      <c r="E367" s="10"/>
      <c r="F367" s="10"/>
      <c r="G367" s="74">
        <f>(5.01*(B367^0.59)*$Z$45)/(86.4*I$12)</f>
        <v>66.463534812091552</v>
      </c>
      <c r="H367" s="74">
        <f t="shared" si="124"/>
        <v>172.14943115254511</v>
      </c>
      <c r="I367" s="22">
        <f t="shared" si="125"/>
        <v>1.5657467792317179</v>
      </c>
      <c r="J367" s="32">
        <v>4.7</v>
      </c>
      <c r="K367" s="22"/>
      <c r="L367" s="22"/>
      <c r="M367" s="22">
        <f t="shared" ref="M367:M377" si="127">(B367-(0.74*P$367))</f>
        <v>2.3382150897072691</v>
      </c>
      <c r="N367" s="10">
        <f t="shared" si="126"/>
        <v>3.9297732600122169E-2</v>
      </c>
      <c r="O367" s="22" t="s">
        <v>66</v>
      </c>
      <c r="P367" s="22">
        <f>((((B366-P366)^2+(B367-P366)^2+(B368-P366)^2+(B369-P366)^2+(B370-P366)^2+(B371-P366)^2+(B372-P366)^2+(B373-P366)^2+(B374-P366)^2+(B375-P366)^2+(B376-P366)^2+(B377-P366)^2))/(12-1))^0.5</f>
        <v>54.948357986882066</v>
      </c>
      <c r="Q367" s="89">
        <v>59.5</v>
      </c>
      <c r="R367" s="89"/>
      <c r="S367" s="10"/>
      <c r="T367" s="10"/>
      <c r="U367" s="10"/>
      <c r="V367" s="5"/>
      <c r="W367" s="5"/>
    </row>
    <row r="368" spans="1:23" x14ac:dyDescent="0.25">
      <c r="A368" s="22" t="s">
        <v>2</v>
      </c>
      <c r="B368" s="10">
        <v>119.3</v>
      </c>
      <c r="C368" s="10"/>
      <c r="D368" s="70">
        <v>6669</v>
      </c>
      <c r="E368" s="10"/>
      <c r="F368" s="10"/>
      <c r="G368" s="74">
        <f>(5.01*(B368^0.59)*$Z$45)/(86.4*I$13)</f>
        <v>109.6102695256038</v>
      </c>
      <c r="H368" s="74">
        <f t="shared" si="124"/>
        <v>14.203957082850401</v>
      </c>
      <c r="I368" s="22">
        <f t="shared" si="125"/>
        <v>0.1291889256091206</v>
      </c>
      <c r="J368" s="32">
        <v>4.7</v>
      </c>
      <c r="K368" s="22" t="s">
        <v>72</v>
      </c>
      <c r="L368" s="10">
        <f>EXP(1)</f>
        <v>2.7182818284590451</v>
      </c>
      <c r="M368" s="22">
        <f t="shared" si="127"/>
        <v>78.638215089707273</v>
      </c>
      <c r="N368" s="10">
        <f t="shared" si="126"/>
        <v>1.4950231005647769</v>
      </c>
      <c r="O368" s="22"/>
      <c r="P368" s="22"/>
      <c r="Q368" s="89">
        <v>52.6</v>
      </c>
      <c r="R368" s="89"/>
      <c r="S368" s="10"/>
      <c r="T368" s="10"/>
      <c r="U368" s="10"/>
      <c r="V368" s="5"/>
      <c r="W368" s="5"/>
    </row>
    <row r="369" spans="1:23" x14ac:dyDescent="0.25">
      <c r="A369" s="22" t="s">
        <v>3</v>
      </c>
      <c r="B369" s="10">
        <v>153.9</v>
      </c>
      <c r="C369" s="10"/>
      <c r="D369" s="70">
        <v>8409</v>
      </c>
      <c r="E369" s="10"/>
      <c r="F369" s="10"/>
      <c r="G369" s="74">
        <f>(5.01*(B369^0.59)*$Z$45)/(86.4*I$14)</f>
        <v>131.62688652507899</v>
      </c>
      <c r="H369" s="74">
        <f t="shared" si="124"/>
        <v>9.5576283268282811</v>
      </c>
      <c r="I369" s="22">
        <f t="shared" si="125"/>
        <v>8.6929278067521404E-2</v>
      </c>
      <c r="J369" s="32">
        <v>4.7</v>
      </c>
      <c r="K369" s="22"/>
      <c r="L369" s="22"/>
      <c r="M369" s="22">
        <f t="shared" si="127"/>
        <v>113.23821508970727</v>
      </c>
      <c r="N369" s="10">
        <f t="shared" si="126"/>
        <v>1.7261923031967572</v>
      </c>
      <c r="O369" s="22"/>
      <c r="P369" s="22"/>
      <c r="Q369" s="89">
        <v>65.599999999999994</v>
      </c>
      <c r="R369" s="89"/>
      <c r="S369" s="10"/>
      <c r="T369" s="10"/>
      <c r="U369" s="10"/>
      <c r="V369" s="5"/>
      <c r="W369" s="5"/>
    </row>
    <row r="370" spans="1:23" x14ac:dyDescent="0.25">
      <c r="A370" s="22" t="s">
        <v>4</v>
      </c>
      <c r="B370" s="10">
        <v>99.3</v>
      </c>
      <c r="C370" s="10"/>
      <c r="D370" s="58">
        <v>7.08</v>
      </c>
      <c r="E370" s="10"/>
      <c r="F370" s="10"/>
      <c r="G370" s="74">
        <f>(5.01*(B370^0.59)*$Z$45)/(86.4*I$15)</f>
        <v>98.363379272538779</v>
      </c>
      <c r="H370" s="74">
        <f t="shared" si="124"/>
        <v>38.770129881571059</v>
      </c>
      <c r="I370" s="22">
        <f t="shared" si="125"/>
        <v>0.35262507454162911</v>
      </c>
      <c r="J370" s="32">
        <v>4.7</v>
      </c>
      <c r="K370" s="22" t="s">
        <v>77</v>
      </c>
      <c r="L370" s="22">
        <v>86400</v>
      </c>
      <c r="M370" s="22">
        <f t="shared" si="127"/>
        <v>58.638215089707266</v>
      </c>
      <c r="N370" s="10">
        <f t="shared" si="126"/>
        <v>0.90911961379391115</v>
      </c>
      <c r="O370" s="22"/>
      <c r="P370" s="22"/>
      <c r="Q370" s="89">
        <v>64.5</v>
      </c>
      <c r="R370" s="89"/>
      <c r="S370" s="10"/>
      <c r="T370" s="10"/>
      <c r="U370" s="10"/>
      <c r="V370" s="5"/>
      <c r="W370" s="5"/>
    </row>
    <row r="371" spans="1:23" x14ac:dyDescent="0.25">
      <c r="A371" s="22" t="s">
        <v>5</v>
      </c>
      <c r="B371" s="10">
        <v>23</v>
      </c>
      <c r="C371" s="10"/>
      <c r="D371" s="70">
        <v>3359</v>
      </c>
      <c r="E371" s="10"/>
      <c r="F371" s="10"/>
      <c r="G371" s="74">
        <f>(5.01*(B371^0.59)*$Z$45)/(86.4*I$16)</f>
        <v>42.883798455596178</v>
      </c>
      <c r="H371" s="74">
        <f t="shared" si="124"/>
        <v>138.9364835144363</v>
      </c>
      <c r="I371" s="22">
        <f t="shared" si="125"/>
        <v>2.8123399958907087</v>
      </c>
      <c r="J371" s="32">
        <v>3.9</v>
      </c>
      <c r="K371" s="22" t="s">
        <v>78</v>
      </c>
      <c r="L371" s="22">
        <f>L370*15</f>
        <v>1296000</v>
      </c>
      <c r="M371" s="22">
        <f t="shared" si="127"/>
        <v>-17.661784910292731</v>
      </c>
      <c r="N371" s="10">
        <f t="shared" si="126"/>
        <v>-0.30242782380638239</v>
      </c>
      <c r="O371" s="22" t="s">
        <v>67</v>
      </c>
      <c r="P371" s="22">
        <v>0.65</v>
      </c>
      <c r="Q371" s="89">
        <v>58.4</v>
      </c>
      <c r="R371" s="89"/>
      <c r="S371" s="10"/>
      <c r="T371" s="10"/>
      <c r="U371" s="10"/>
      <c r="V371" s="5"/>
      <c r="W371" s="5"/>
    </row>
    <row r="372" spans="1:23" x14ac:dyDescent="0.25">
      <c r="A372" s="22" t="s">
        <v>6</v>
      </c>
      <c r="B372" s="10">
        <v>3.3</v>
      </c>
      <c r="C372" s="10"/>
      <c r="D372" s="58">
        <v>1.04</v>
      </c>
      <c r="E372" s="10"/>
      <c r="F372" s="10"/>
      <c r="G372" s="74">
        <f>(5.01*(B372^0.59)*$Z$45)/(86.4*I$17)</f>
        <v>13.199473499600259</v>
      </c>
      <c r="H372" s="74">
        <f t="shared" si="124"/>
        <v>56.550694476938823</v>
      </c>
      <c r="I372" s="22">
        <f t="shared" si="125"/>
        <v>5.1301632600428242</v>
      </c>
      <c r="J372" s="32">
        <v>2.4</v>
      </c>
      <c r="K372" s="22"/>
      <c r="L372" s="22"/>
      <c r="M372" s="22">
        <f t="shared" si="127"/>
        <v>-37.361784910292734</v>
      </c>
      <c r="N372" s="10">
        <f t="shared" si="126"/>
        <v>-0.65317805787225058</v>
      </c>
      <c r="O372" s="22" t="s">
        <v>68</v>
      </c>
      <c r="P372" s="22">
        <v>0.45</v>
      </c>
      <c r="Q372" s="89">
        <v>57.2</v>
      </c>
      <c r="R372" s="89"/>
      <c r="S372" s="10"/>
      <c r="T372" s="10"/>
      <c r="U372" s="10"/>
      <c r="V372" s="5"/>
      <c r="W372" s="5"/>
    </row>
    <row r="373" spans="1:23" x14ac:dyDescent="0.25">
      <c r="A373" s="22" t="s">
        <v>7</v>
      </c>
      <c r="B373" s="10">
        <v>5.3</v>
      </c>
      <c r="C373" s="10"/>
      <c r="D373" s="58">
        <v>0.73399999999999999</v>
      </c>
      <c r="E373" s="10"/>
      <c r="F373" s="10"/>
      <c r="G373" s="74">
        <f>(5.01*(B373^0.59)*$Z$45)/(86.4*I$18)</f>
        <v>17.456458767910416</v>
      </c>
      <c r="H373" s="74">
        <f t="shared" si="124"/>
        <v>14.679403554592712</v>
      </c>
      <c r="I373" s="22">
        <f t="shared" si="125"/>
        <v>4.8863489692587576</v>
      </c>
      <c r="J373" s="32">
        <v>1.1000000000000001</v>
      </c>
      <c r="K373" s="22"/>
      <c r="L373" s="22"/>
      <c r="M373" s="22">
        <f>(B373-(0.74*P$367))</f>
        <v>-35.361784910292734</v>
      </c>
      <c r="N373" s="10">
        <f t="shared" si="126"/>
        <v>-0.62476651784969495</v>
      </c>
      <c r="O373" s="22" t="s">
        <v>69</v>
      </c>
      <c r="P373" s="22">
        <f>-1+(EXP(1)*(0.5*P374))</f>
        <v>3.0774227426885679</v>
      </c>
      <c r="Q373" s="89">
        <v>56.6</v>
      </c>
      <c r="R373" s="89"/>
      <c r="S373" s="10"/>
      <c r="T373" s="10"/>
      <c r="U373" s="10"/>
      <c r="V373" s="5"/>
      <c r="W373" s="5"/>
    </row>
    <row r="374" spans="1:23" x14ac:dyDescent="0.25">
      <c r="A374" s="22" t="s">
        <v>8</v>
      </c>
      <c r="B374" s="10">
        <v>17.2</v>
      </c>
      <c r="C374" s="10"/>
      <c r="D374" s="70">
        <v>1563</v>
      </c>
      <c r="E374" s="10"/>
      <c r="F374" s="10"/>
      <c r="G374" s="74">
        <f>(5.01*(B374^0.59)*$Z$45)/(86.4*I$19)</f>
        <v>36.127308419637011</v>
      </c>
      <c r="H374" s="74">
        <f t="shared" si="124"/>
        <v>10.438075149694885</v>
      </c>
      <c r="I374" s="22">
        <f t="shared" si="125"/>
        <v>3.4745333868009611</v>
      </c>
      <c r="J374" s="32">
        <v>1.1000000000000001</v>
      </c>
      <c r="K374" s="22"/>
      <c r="L374" s="22"/>
      <c r="M374" s="22">
        <f t="shared" si="127"/>
        <v>-23.461784910292732</v>
      </c>
      <c r="N374" s="10">
        <f t="shared" si="126"/>
        <v>-0.42580371888008584</v>
      </c>
      <c r="O374" s="22" t="s">
        <v>74</v>
      </c>
      <c r="P374" s="22">
        <v>3</v>
      </c>
      <c r="Q374" s="89">
        <v>55.1</v>
      </c>
      <c r="R374" s="89"/>
      <c r="S374" s="10"/>
      <c r="T374" s="10"/>
      <c r="U374" s="10"/>
      <c r="V374" s="5"/>
      <c r="W374" s="5"/>
    </row>
    <row r="375" spans="1:23" ht="18.75" x14ac:dyDescent="0.3">
      <c r="A375" s="22" t="s">
        <v>9</v>
      </c>
      <c r="B375" s="10">
        <v>127.9</v>
      </c>
      <c r="C375" s="10"/>
      <c r="D375" s="70">
        <v>6591</v>
      </c>
      <c r="E375" s="10"/>
      <c r="F375" s="10"/>
      <c r="G375" s="74">
        <f>(5.01*(B375^0.59)*$Z$45)/(86.4*I$20)</f>
        <v>114.20549621821915</v>
      </c>
      <c r="H375" s="74">
        <f t="shared" si="124"/>
        <v>1.4207953804851412</v>
      </c>
      <c r="I375" s="22">
        <f t="shared" si="125"/>
        <v>0.12889164896066521</v>
      </c>
      <c r="J375" s="32">
        <v>2.4</v>
      </c>
      <c r="K375" s="22"/>
      <c r="L375" s="22"/>
      <c r="M375" s="22">
        <f t="shared" si="127"/>
        <v>87.238215089707268</v>
      </c>
      <c r="N375" s="10">
        <f t="shared" si="126"/>
        <v>1.4963673257239669</v>
      </c>
      <c r="O375" s="45" t="s">
        <v>75</v>
      </c>
      <c r="P375" s="10"/>
      <c r="Q375" s="89">
        <v>58.3</v>
      </c>
      <c r="R375" s="89"/>
      <c r="S375" s="10"/>
      <c r="T375" s="10"/>
      <c r="U375" s="10"/>
      <c r="V375" s="5"/>
      <c r="W375" s="5"/>
    </row>
    <row r="376" spans="1:23" x14ac:dyDescent="0.25">
      <c r="A376" s="22" t="s">
        <v>10</v>
      </c>
      <c r="B376" s="10">
        <v>97.8</v>
      </c>
      <c r="C376" s="10"/>
      <c r="D376" s="70">
        <v>6725</v>
      </c>
      <c r="E376" s="10"/>
      <c r="F376" s="10"/>
      <c r="G376" s="74">
        <f>(5.01*(B376^0.59)*$Z$45)/(86.4*I$21)</f>
        <v>100.73345905976325</v>
      </c>
      <c r="H376" s="74">
        <f t="shared" si="124"/>
        <v>15.82491821277954</v>
      </c>
      <c r="I376" s="22">
        <f t="shared" si="125"/>
        <v>0.32032659310018352</v>
      </c>
      <c r="J376" s="32">
        <v>3.9</v>
      </c>
      <c r="K376" s="22"/>
      <c r="L376" s="22"/>
      <c r="M376" s="22">
        <f t="shared" si="127"/>
        <v>57.138215089707266</v>
      </c>
      <c r="N376" s="10">
        <f t="shared" si="126"/>
        <v>0.96517255219100107</v>
      </c>
      <c r="O376" s="10"/>
      <c r="P376" s="22"/>
      <c r="Q376" s="89">
        <v>59.2</v>
      </c>
      <c r="R376" s="89"/>
      <c r="S376" s="10"/>
      <c r="T376" s="10"/>
      <c r="U376" s="10"/>
      <c r="V376" s="5"/>
      <c r="W376" s="5"/>
    </row>
    <row r="377" spans="1:23" x14ac:dyDescent="0.25">
      <c r="A377" s="22" t="s">
        <v>11</v>
      </c>
      <c r="B377" s="10">
        <v>133.80000000000001</v>
      </c>
      <c r="C377" s="10"/>
      <c r="D377" s="70">
        <v>7596</v>
      </c>
      <c r="E377" s="10"/>
      <c r="F377" s="10"/>
      <c r="G377" s="74">
        <f>(5.01*(B377^0.59)*$Z$45)/(86.4*I$22)</f>
        <v>117.28500503142507</v>
      </c>
      <c r="H377" s="74">
        <f t="shared" si="124"/>
        <v>6.69918909157008</v>
      </c>
      <c r="I377" s="22">
        <f t="shared" si="125"/>
        <v>0.13560439235026148</v>
      </c>
      <c r="J377" s="32">
        <v>3.9</v>
      </c>
      <c r="K377" s="22"/>
      <c r="L377" s="22"/>
      <c r="M377" s="22">
        <f t="shared" si="127"/>
        <v>93.138215089707273</v>
      </c>
      <c r="N377" s="10">
        <f t="shared" si="126"/>
        <v>1.4667435447197996</v>
      </c>
      <c r="O377" s="22"/>
      <c r="P377" s="22"/>
      <c r="Q377" s="89">
        <v>63.5</v>
      </c>
      <c r="R377" s="89"/>
      <c r="S377" s="10"/>
      <c r="T377" s="10"/>
      <c r="U377" s="10"/>
      <c r="V377" s="5"/>
      <c r="W377" s="5"/>
    </row>
    <row r="378" spans="1:23" x14ac:dyDescent="0.25">
      <c r="A378" s="22" t="s">
        <v>12</v>
      </c>
      <c r="B378" s="22">
        <v>2003</v>
      </c>
      <c r="C378" s="22">
        <v>2003</v>
      </c>
      <c r="D378" s="56">
        <v>2003</v>
      </c>
      <c r="E378" s="22">
        <v>2003</v>
      </c>
      <c r="F378" s="22">
        <v>2003</v>
      </c>
      <c r="G378" s="56">
        <v>2003</v>
      </c>
      <c r="H378" s="56">
        <v>2003</v>
      </c>
      <c r="I378" s="22">
        <v>2003</v>
      </c>
      <c r="J378" s="47" t="s">
        <v>70</v>
      </c>
      <c r="K378" s="49" t="s">
        <v>61</v>
      </c>
      <c r="L378" s="49" t="s">
        <v>62</v>
      </c>
      <c r="M378" s="39" t="s">
        <v>60</v>
      </c>
      <c r="N378" s="39" t="s">
        <v>73</v>
      </c>
      <c r="O378" s="105" t="s">
        <v>57</v>
      </c>
      <c r="P378" s="105"/>
      <c r="Q378" s="10"/>
      <c r="R378" s="10"/>
      <c r="S378" s="10"/>
      <c r="T378" s="10"/>
      <c r="U378" s="10"/>
      <c r="V378" s="5"/>
      <c r="W378" s="5"/>
    </row>
    <row r="379" spans="1:23" x14ac:dyDescent="0.25">
      <c r="A379" s="22" t="s">
        <v>0</v>
      </c>
      <c r="B379" s="10">
        <v>20.5</v>
      </c>
      <c r="C379" s="10"/>
      <c r="D379" s="70">
        <v>3536</v>
      </c>
      <c r="E379" s="10"/>
      <c r="F379" s="10"/>
      <c r="G379" s="74">
        <f>(5.01*(B379^0.59)*$Z$45)/(86.4*I$11)</f>
        <v>38.776460284952833</v>
      </c>
      <c r="H379" s="74">
        <f t="shared" ref="H379:H390" si="128">L$30^(J379-(0.6458446*LN(P$34))-(9.53942*N379*(P$34/P$33))+(4.8904*N379))</f>
        <v>319.07664599683477</v>
      </c>
      <c r="I379" s="22">
        <f t="shared" ref="I379:I390" si="129">L$30^(K$28-(0.6458446*LN(P$34))-(9.53942*N379*(P$34/P$33))+(4.8904*N379))</f>
        <v>2.9020905120209401</v>
      </c>
      <c r="J379" s="32">
        <v>4.7</v>
      </c>
      <c r="K379" s="22">
        <f>(10^-8)*((P386/P385)^-7.2474)</f>
        <v>8.8839224002565862E-15</v>
      </c>
      <c r="L379" s="22">
        <f>(-3.2951*(P385/P384))+5.33</f>
        <v>3.0487769230769231</v>
      </c>
      <c r="M379" s="22">
        <f>(B379-(0.74*P$380))</f>
        <v>-20.977571604203376</v>
      </c>
      <c r="N379" s="10">
        <f t="shared" ref="N379:N390" si="130">M379/Q379</f>
        <v>-0.32075797559943997</v>
      </c>
      <c r="O379" s="22" t="s">
        <v>58</v>
      </c>
      <c r="P379" s="22">
        <f>(B379+B380+B381+B382+B383+B384+B385+B386+B387+B388+B389+B390)/12</f>
        <v>67.7</v>
      </c>
      <c r="Q379" s="89">
        <v>65.400000000000006</v>
      </c>
      <c r="R379" s="89"/>
      <c r="S379" s="10"/>
      <c r="T379" s="10"/>
      <c r="U379" s="10"/>
      <c r="V379" s="5"/>
      <c r="W379" s="5"/>
    </row>
    <row r="380" spans="1:23" x14ac:dyDescent="0.25">
      <c r="A380" s="22" t="s">
        <v>1</v>
      </c>
      <c r="B380" s="10">
        <v>82.9</v>
      </c>
      <c r="C380" s="10"/>
      <c r="D380" s="70">
        <v>4979</v>
      </c>
      <c r="E380" s="10"/>
      <c r="F380" s="10"/>
      <c r="G380" s="74">
        <f>(5.01*(B380^0.59)*$Z$45)/(86.4*I$12)</f>
        <v>97.90034435807955</v>
      </c>
      <c r="H380" s="74">
        <f t="shared" si="128"/>
        <v>55.845953587521834</v>
      </c>
      <c r="I380" s="22">
        <f t="shared" si="129"/>
        <v>0.50793442288695911</v>
      </c>
      <c r="J380" s="32">
        <v>4.7</v>
      </c>
      <c r="K380" s="22"/>
      <c r="L380" s="22"/>
      <c r="M380" s="22">
        <f t="shared" ref="M380:M390" si="131">(B380-(0.74*P$380))</f>
        <v>41.422428395796629</v>
      </c>
      <c r="N380" s="10">
        <f t="shared" si="130"/>
        <v>0.69617526715624589</v>
      </c>
      <c r="O380" s="22" t="s">
        <v>66</v>
      </c>
      <c r="P380" s="22">
        <f>((((B379-P379)^2+(B380-P379)^2+(B381-P379)^2+(B382-P379)^2+(B383-P379)^2+(B384-P379)^2+(B385-P379)^2+(B386-P379)^2+(B387-P379)^2+(B388-P379)^2+(B389-P379)^2+(B390-P379)^2))/(12-1))^0.5</f>
        <v>56.050772438112674</v>
      </c>
      <c r="Q380" s="89">
        <v>59.5</v>
      </c>
      <c r="R380" s="89"/>
      <c r="S380" s="10"/>
      <c r="T380" s="10"/>
      <c r="U380" s="10"/>
      <c r="V380" s="5"/>
      <c r="W380" s="5"/>
    </row>
    <row r="381" spans="1:23" x14ac:dyDescent="0.25">
      <c r="A381" s="22" t="s">
        <v>2</v>
      </c>
      <c r="B381" s="10">
        <v>94.9</v>
      </c>
      <c r="C381" s="10"/>
      <c r="D381" s="70">
        <v>6237</v>
      </c>
      <c r="E381" s="10"/>
      <c r="F381" s="10"/>
      <c r="G381" s="74">
        <f>(5.01*(B381^0.59)*$Z$45)/(86.4*I$13)</f>
        <v>95.768006930585557</v>
      </c>
      <c r="H381" s="74">
        <f t="shared" si="128"/>
        <v>32.30111227557552</v>
      </c>
      <c r="I381" s="22">
        <f t="shared" si="129"/>
        <v>0.29378756683935026</v>
      </c>
      <c r="J381" s="32">
        <v>4.7</v>
      </c>
      <c r="K381" s="22" t="s">
        <v>72</v>
      </c>
      <c r="L381" s="10">
        <f>EXP(1)</f>
        <v>2.7182818284590451</v>
      </c>
      <c r="M381" s="22">
        <f t="shared" si="131"/>
        <v>53.422428395796629</v>
      </c>
      <c r="N381" s="10">
        <f t="shared" si="130"/>
        <v>1.0156355208326355</v>
      </c>
      <c r="O381" s="22"/>
      <c r="P381" s="22"/>
      <c r="Q381" s="89">
        <v>52.6</v>
      </c>
      <c r="R381" s="89"/>
      <c r="S381" s="10"/>
      <c r="T381" s="10"/>
      <c r="U381" s="10"/>
      <c r="V381" s="5"/>
      <c r="W381" s="5"/>
    </row>
    <row r="382" spans="1:23" x14ac:dyDescent="0.25">
      <c r="A382" s="22" t="s">
        <v>3</v>
      </c>
      <c r="B382" s="10">
        <v>203</v>
      </c>
      <c r="C382" s="10"/>
      <c r="D382" s="70">
        <v>9756</v>
      </c>
      <c r="E382" s="10"/>
      <c r="F382" s="10"/>
      <c r="G382" s="74">
        <f>(5.01*(B382^0.59)*$Z$45)/(86.4*I$14)</f>
        <v>154.98743303857495</v>
      </c>
      <c r="H382" s="74">
        <f t="shared" si="128"/>
        <v>2.7071714634082444</v>
      </c>
      <c r="I382" s="22">
        <f t="shared" si="129"/>
        <v>2.462247462150155E-2</v>
      </c>
      <c r="J382" s="32">
        <v>4.7</v>
      </c>
      <c r="K382" s="22"/>
      <c r="L382" s="22"/>
      <c r="M382" s="22">
        <f t="shared" si="131"/>
        <v>161.52242839579662</v>
      </c>
      <c r="N382" s="10">
        <f t="shared" si="130"/>
        <v>2.4622321401798266</v>
      </c>
      <c r="O382" s="22"/>
      <c r="P382" s="22"/>
      <c r="Q382" s="89">
        <v>65.599999999999994</v>
      </c>
      <c r="R382" s="89"/>
      <c r="S382" s="10"/>
      <c r="T382" s="10"/>
      <c r="U382" s="10"/>
      <c r="V382" s="5"/>
      <c r="W382" s="5"/>
    </row>
    <row r="383" spans="1:23" x14ac:dyDescent="0.25">
      <c r="A383" s="22" t="s">
        <v>4</v>
      </c>
      <c r="B383" s="10">
        <v>29.2</v>
      </c>
      <c r="C383" s="10"/>
      <c r="D383" s="70">
        <v>4732</v>
      </c>
      <c r="E383" s="10"/>
      <c r="F383" s="10"/>
      <c r="G383" s="74">
        <f>(5.01*(B383^0.59)*$Z$45)/(86.4*I$15)</f>
        <v>47.775942817857363</v>
      </c>
      <c r="H383" s="74">
        <f t="shared" si="128"/>
        <v>255.17159975393108</v>
      </c>
      <c r="I383" s="22">
        <f t="shared" si="129"/>
        <v>2.3208564082450391</v>
      </c>
      <c r="J383" s="32">
        <v>4.7</v>
      </c>
      <c r="K383" s="22" t="s">
        <v>77</v>
      </c>
      <c r="L383" s="22">
        <v>86400</v>
      </c>
      <c r="M383" s="22">
        <f>(B383-(0.74*P$380))</f>
        <v>-12.277571604203377</v>
      </c>
      <c r="N383" s="10">
        <f t="shared" si="130"/>
        <v>-0.19034994735199035</v>
      </c>
      <c r="O383" s="22"/>
      <c r="P383" s="22"/>
      <c r="Q383" s="89">
        <v>64.5</v>
      </c>
      <c r="R383" s="89"/>
      <c r="S383" s="10"/>
      <c r="T383" s="10"/>
      <c r="U383" s="10"/>
      <c r="V383" s="5"/>
      <c r="W383" s="5"/>
    </row>
    <row r="384" spans="1:23" x14ac:dyDescent="0.25">
      <c r="A384" s="22" t="s">
        <v>5</v>
      </c>
      <c r="B384" s="10">
        <v>41</v>
      </c>
      <c r="C384" s="10"/>
      <c r="D384" s="70">
        <v>3331</v>
      </c>
      <c r="E384" s="10"/>
      <c r="F384" s="10"/>
      <c r="G384" s="74">
        <f>(5.01*(B384^0.59)*$Z$45)/(86.4*I$16)</f>
        <v>60.313745410707675</v>
      </c>
      <c r="H384" s="74">
        <f t="shared" si="128"/>
        <v>83.908486694052385</v>
      </c>
      <c r="I384" s="22">
        <f t="shared" si="129"/>
        <v>1.6984681572124807</v>
      </c>
      <c r="J384" s="32">
        <v>3.9</v>
      </c>
      <c r="K384" s="22" t="s">
        <v>78</v>
      </c>
      <c r="L384" s="22">
        <f>L383*15</f>
        <v>1296000</v>
      </c>
      <c r="M384" s="22">
        <f t="shared" si="131"/>
        <v>-0.47757160420337641</v>
      </c>
      <c r="N384" s="10">
        <f t="shared" si="130"/>
        <v>-8.1775959623865829E-3</v>
      </c>
      <c r="O384" s="22" t="s">
        <v>67</v>
      </c>
      <c r="P384" s="22">
        <v>0.65</v>
      </c>
      <c r="Q384" s="89">
        <v>58.4</v>
      </c>
      <c r="R384" s="89"/>
      <c r="S384" s="10"/>
      <c r="T384" s="10"/>
      <c r="U384" s="10"/>
      <c r="V384" s="5"/>
      <c r="W384" s="5"/>
    </row>
    <row r="385" spans="1:23" x14ac:dyDescent="0.25">
      <c r="A385" s="22" t="s">
        <v>6</v>
      </c>
      <c r="B385" s="10">
        <v>10.8</v>
      </c>
      <c r="C385" s="10"/>
      <c r="D385" s="70">
        <v>1831</v>
      </c>
      <c r="E385" s="10"/>
      <c r="F385" s="10"/>
      <c r="G385" s="74">
        <f>(5.01*(B385^0.59)*$Z$45)/(86.4*I$17)</f>
        <v>26.567665804997834</v>
      </c>
      <c r="H385" s="74">
        <f t="shared" si="128"/>
        <v>46.287250276486333</v>
      </c>
      <c r="I385" s="22">
        <f t="shared" si="129"/>
        <v>4.1990846084776727</v>
      </c>
      <c r="J385" s="32">
        <v>2.4</v>
      </c>
      <c r="K385" s="22"/>
      <c r="L385" s="22"/>
      <c r="M385" s="22">
        <f t="shared" si="131"/>
        <v>-30.677571604203376</v>
      </c>
      <c r="N385" s="10">
        <f t="shared" si="130"/>
        <v>-0.53632118189166733</v>
      </c>
      <c r="O385" s="22" t="s">
        <v>68</v>
      </c>
      <c r="P385" s="22">
        <v>0.45</v>
      </c>
      <c r="Q385" s="89">
        <v>57.2</v>
      </c>
      <c r="R385" s="89"/>
      <c r="S385" s="10"/>
      <c r="T385" s="10"/>
      <c r="U385" s="10"/>
      <c r="V385" s="5"/>
      <c r="W385" s="5"/>
    </row>
    <row r="386" spans="1:23" x14ac:dyDescent="0.25">
      <c r="A386" s="22" t="s">
        <v>7</v>
      </c>
      <c r="B386" s="10">
        <v>5.6</v>
      </c>
      <c r="C386" s="10"/>
      <c r="D386" s="58">
        <v>0.96399999999999997</v>
      </c>
      <c r="E386" s="10"/>
      <c r="F386" s="10"/>
      <c r="G386" s="74">
        <f>(5.01*(B386^0.59)*$Z$45)/(86.4*I$18)</f>
        <v>18.032847909351045</v>
      </c>
      <c r="H386" s="74">
        <f t="shared" si="128"/>
        <v>14.910461824143653</v>
      </c>
      <c r="I386" s="22">
        <f t="shared" si="129"/>
        <v>4.9632615858415878</v>
      </c>
      <c r="J386" s="32">
        <v>1.1000000000000001</v>
      </c>
      <c r="K386" s="22"/>
      <c r="L386" s="22"/>
      <c r="M386" s="22">
        <f t="shared" si="131"/>
        <v>-35.877571604203375</v>
      </c>
      <c r="N386" s="10">
        <f t="shared" si="130"/>
        <v>-0.63387935696472397</v>
      </c>
      <c r="O386" s="22" t="s">
        <v>69</v>
      </c>
      <c r="P386" s="22">
        <f>-1+(EXP(1)*(0.5*P387))</f>
        <v>3.0774227426885679</v>
      </c>
      <c r="Q386" s="89">
        <v>56.6</v>
      </c>
      <c r="R386" s="89"/>
      <c r="S386" s="10"/>
      <c r="T386" s="10"/>
      <c r="U386" s="10"/>
      <c r="V386" s="5"/>
      <c r="W386" s="5"/>
    </row>
    <row r="387" spans="1:23" x14ac:dyDescent="0.25">
      <c r="A387" s="22" t="s">
        <v>8</v>
      </c>
      <c r="B387" s="10">
        <v>44.1</v>
      </c>
      <c r="C387" s="10"/>
      <c r="D387" s="70">
        <v>3039</v>
      </c>
      <c r="E387" s="10"/>
      <c r="F387" s="10"/>
      <c r="G387" s="74">
        <f>(5.01*(B387^0.59)*$Z$45)/(86.4*I$19)</f>
        <v>62.964040673608288</v>
      </c>
      <c r="H387" s="74">
        <f t="shared" si="128"/>
        <v>4.6373573098805867</v>
      </c>
      <c r="I387" s="22">
        <f t="shared" si="129"/>
        <v>1.5436421532351752</v>
      </c>
      <c r="J387" s="32">
        <v>1.1000000000000001</v>
      </c>
      <c r="K387" s="22"/>
      <c r="L387" s="22"/>
      <c r="M387" s="22">
        <f>(B387-(0.74*P$380))</f>
        <v>2.622428395796625</v>
      </c>
      <c r="N387" s="10">
        <f t="shared" si="130"/>
        <v>4.7593981774893372E-2</v>
      </c>
      <c r="O387" s="22" t="s">
        <v>74</v>
      </c>
      <c r="P387" s="22">
        <v>3</v>
      </c>
      <c r="Q387" s="89">
        <v>55.1</v>
      </c>
      <c r="R387" s="89"/>
      <c r="S387" s="10"/>
      <c r="T387" s="10"/>
      <c r="U387" s="10"/>
      <c r="V387" s="5"/>
      <c r="W387" s="5"/>
    </row>
    <row r="388" spans="1:23" ht="18.75" x14ac:dyDescent="0.3">
      <c r="A388" s="22" t="s">
        <v>9</v>
      </c>
      <c r="B388" s="10">
        <v>86.7</v>
      </c>
      <c r="C388" s="10"/>
      <c r="D388" s="70">
        <v>5426</v>
      </c>
      <c r="E388" s="10"/>
      <c r="F388" s="10"/>
      <c r="G388" s="74">
        <f>(5.01*(B388^0.59)*$Z$45)/(86.4*I$20)</f>
        <v>90.795568326403995</v>
      </c>
      <c r="H388" s="74">
        <f t="shared" si="128"/>
        <v>4.8857968756603798</v>
      </c>
      <c r="I388" s="22">
        <f t="shared" si="129"/>
        <v>0.44322949274771989</v>
      </c>
      <c r="J388" s="32">
        <v>2.4</v>
      </c>
      <c r="K388" s="22"/>
      <c r="L388" s="22"/>
      <c r="M388" s="22">
        <f>(B388-(0.74*P$380))</f>
        <v>45.222428395796626</v>
      </c>
      <c r="N388" s="10">
        <f t="shared" si="130"/>
        <v>0.77568487814402454</v>
      </c>
      <c r="O388" s="45" t="s">
        <v>75</v>
      </c>
      <c r="P388" s="10"/>
      <c r="Q388" s="89">
        <v>58.3</v>
      </c>
      <c r="R388" s="89"/>
      <c r="S388" s="10"/>
      <c r="T388" s="10"/>
      <c r="U388" s="10"/>
      <c r="V388" s="5"/>
      <c r="W388" s="5"/>
    </row>
    <row r="389" spans="1:23" x14ac:dyDescent="0.25">
      <c r="A389" s="22" t="s">
        <v>10</v>
      </c>
      <c r="B389" s="10">
        <v>120.8</v>
      </c>
      <c r="C389" s="10"/>
      <c r="D389" s="70">
        <v>7105</v>
      </c>
      <c r="E389" s="10"/>
      <c r="F389" s="10"/>
      <c r="G389" s="74">
        <f>(5.01*(B389^0.59)*$Z$45)/(86.4*I$21)</f>
        <v>114.10201506995466</v>
      </c>
      <c r="H389" s="74">
        <f t="shared" si="128"/>
        <v>8.325829123275426</v>
      </c>
      <c r="I389" s="22">
        <f t="shared" si="129"/>
        <v>0.16853069582624181</v>
      </c>
      <c r="J389" s="32">
        <v>3.9</v>
      </c>
      <c r="K389" s="22"/>
      <c r="L389" s="22"/>
      <c r="M389" s="22">
        <f t="shared" si="131"/>
        <v>79.322428395796621</v>
      </c>
      <c r="N389" s="10">
        <f t="shared" si="130"/>
        <v>1.3399058850641321</v>
      </c>
      <c r="O389" s="10"/>
      <c r="P389" s="22"/>
      <c r="Q389" s="89">
        <v>59.2</v>
      </c>
      <c r="R389" s="89"/>
      <c r="S389" s="10"/>
      <c r="T389" s="10"/>
      <c r="U389" s="10"/>
      <c r="V389" s="5"/>
      <c r="W389" s="5"/>
    </row>
    <row r="390" spans="1:23" x14ac:dyDescent="0.25">
      <c r="A390" s="22" t="s">
        <v>11</v>
      </c>
      <c r="B390" s="10">
        <v>72.900000000000006</v>
      </c>
      <c r="C390" s="10"/>
      <c r="D390" s="70">
        <v>5709</v>
      </c>
      <c r="E390" s="10"/>
      <c r="F390" s="10"/>
      <c r="G390" s="74">
        <f>(5.01*(B390^0.59)*$Z$45)/(86.4*I$22)</f>
        <v>81.967676704579901</v>
      </c>
      <c r="H390" s="74">
        <f t="shared" si="128"/>
        <v>35.433080255862698</v>
      </c>
      <c r="I390" s="22">
        <f t="shared" si="129"/>
        <v>0.71723327279125948</v>
      </c>
      <c r="J390" s="32">
        <v>3.9</v>
      </c>
      <c r="K390" s="22"/>
      <c r="L390" s="22"/>
      <c r="M390" s="22">
        <f t="shared" si="131"/>
        <v>31.422428395796629</v>
      </c>
      <c r="N390" s="10">
        <f t="shared" si="130"/>
        <v>0.49484139205978944</v>
      </c>
      <c r="O390" s="22"/>
      <c r="P390" s="22"/>
      <c r="Q390" s="89">
        <v>63.5</v>
      </c>
      <c r="R390" s="89"/>
      <c r="S390" s="10"/>
      <c r="T390" s="10"/>
      <c r="U390" s="10"/>
      <c r="V390" s="5"/>
      <c r="W390" s="5"/>
    </row>
    <row r="391" spans="1:23" x14ac:dyDescent="0.25">
      <c r="A391" s="22" t="s">
        <v>12</v>
      </c>
      <c r="B391" s="22">
        <v>2004</v>
      </c>
      <c r="C391" s="22">
        <v>2004</v>
      </c>
      <c r="D391" s="56">
        <v>2004</v>
      </c>
      <c r="E391" s="22">
        <v>2004</v>
      </c>
      <c r="F391" s="22">
        <v>2004</v>
      </c>
      <c r="G391" s="56">
        <v>2004</v>
      </c>
      <c r="H391" s="56">
        <v>2004</v>
      </c>
      <c r="I391" s="22">
        <v>2004</v>
      </c>
      <c r="J391" s="47" t="s">
        <v>70</v>
      </c>
      <c r="K391" s="49" t="s">
        <v>61</v>
      </c>
      <c r="L391" s="49" t="s">
        <v>62</v>
      </c>
      <c r="M391" s="39" t="s">
        <v>60</v>
      </c>
      <c r="N391" s="39" t="s">
        <v>73</v>
      </c>
      <c r="O391" s="105" t="s">
        <v>57</v>
      </c>
      <c r="P391" s="105"/>
      <c r="Q391" s="10"/>
      <c r="R391" s="10"/>
      <c r="S391" s="10"/>
      <c r="T391" s="10"/>
      <c r="U391" s="10"/>
      <c r="V391" s="5"/>
      <c r="W391" s="5"/>
    </row>
    <row r="392" spans="1:23" x14ac:dyDescent="0.25">
      <c r="A392" s="22" t="s">
        <v>0</v>
      </c>
      <c r="B392" s="10">
        <v>48.3</v>
      </c>
      <c r="C392" s="10"/>
      <c r="D392" s="58">
        <v>4.12</v>
      </c>
      <c r="E392" s="10"/>
      <c r="F392" s="10"/>
      <c r="G392" s="74">
        <f>(5.01*(B392^0.59)*$Z$45)/(86.4*I$11)</f>
        <v>64.292777943424255</v>
      </c>
      <c r="H392" s="74">
        <f t="shared" ref="H392:H403" si="132">L$30^(J392-(0.6458446*LN(P$34))-(9.53942*N392*(P$34/P$33))+(4.8904*N392))</f>
        <v>111.03468872406511</v>
      </c>
      <c r="I392" s="22">
        <f t="shared" ref="I392:I403" si="133">L$30^(K$28-(0.6458446*LN(P$34))-(9.53942*N392*(P$34/P$33))+(4.8904*N392))</f>
        <v>1.009891261845921</v>
      </c>
      <c r="J392" s="32">
        <v>4.7</v>
      </c>
      <c r="K392" s="22">
        <f>(10^-8)*((P399/P398)^-7.2474)</f>
        <v>8.8839224002565862E-15</v>
      </c>
      <c r="L392" s="22">
        <f>(-3.2951*(P398/P397))+5.33</f>
        <v>3.0487769230769231</v>
      </c>
      <c r="M392" s="22">
        <f>(B392-(0.74*P$393))</f>
        <v>19.304224359922753</v>
      </c>
      <c r="N392" s="10">
        <f t="shared" ref="N392:N403" si="134">M392/Q392</f>
        <v>0.29517162629851301</v>
      </c>
      <c r="O392" s="22" t="s">
        <v>58</v>
      </c>
      <c r="P392" s="22">
        <f>(B392+B393+B394+B395+B396+B397+B398+B399+B400+B401+B402+B403)/12</f>
        <v>56.683333333333337</v>
      </c>
      <c r="Q392" s="89">
        <v>65.400000000000006</v>
      </c>
      <c r="R392" s="89"/>
      <c r="S392" s="10"/>
      <c r="T392" s="10"/>
      <c r="U392" s="10"/>
      <c r="V392" s="5"/>
      <c r="W392" s="5"/>
    </row>
    <row r="393" spans="1:23" x14ac:dyDescent="0.25">
      <c r="A393" s="22" t="s">
        <v>1</v>
      </c>
      <c r="B393" s="10">
        <v>20.2</v>
      </c>
      <c r="C393" s="10"/>
      <c r="D393" s="70">
        <v>2488</v>
      </c>
      <c r="E393" s="10"/>
      <c r="F393" s="10"/>
      <c r="G393" s="74">
        <f>(5.01*(B393^0.59)*$Z$45)/(86.4*J$12)</f>
        <v>41.091726400063401</v>
      </c>
      <c r="H393" s="74">
        <f t="shared" si="132"/>
        <v>237.2375202875443</v>
      </c>
      <c r="I393" s="22">
        <f t="shared" si="133"/>
        <v>2.1577409859344168</v>
      </c>
      <c r="J393" s="32">
        <v>4.7</v>
      </c>
      <c r="K393" s="22"/>
      <c r="L393" s="22"/>
      <c r="M393" s="22">
        <f t="shared" ref="M393:M403" si="135">(B393-(0.74*P$393))</f>
        <v>-8.7957756400772453</v>
      </c>
      <c r="N393" s="10">
        <f t="shared" si="134"/>
        <v>-0.14782816201810497</v>
      </c>
      <c r="O393" s="22" t="s">
        <v>66</v>
      </c>
      <c r="P393" s="22">
        <f>((((B392-P392)^2+(B393-P392)^2+(B394-P392)^2+(B395-P392)^2+(B396-P392)^2+(B397-P392)^2+(B398-P392)^2+(B399-P392)^2+(B400-P392)^2+(B401-P392)^2+(B402-P392)^2+(B403-P392)^2))/(12-1))^0.5</f>
        <v>39.183480594698977</v>
      </c>
      <c r="Q393" s="89">
        <v>59.5</v>
      </c>
      <c r="R393" s="89"/>
      <c r="S393" s="10"/>
      <c r="T393" s="10"/>
      <c r="U393" s="10"/>
      <c r="V393" s="5"/>
      <c r="W393" s="5"/>
    </row>
    <row r="394" spans="1:23" x14ac:dyDescent="0.25">
      <c r="A394" s="22" t="s">
        <v>2</v>
      </c>
      <c r="B394" s="10">
        <v>63.4</v>
      </c>
      <c r="C394" s="10"/>
      <c r="D394" s="58">
        <v>4.22</v>
      </c>
      <c r="E394" s="10"/>
      <c r="F394" s="10"/>
      <c r="G394" s="74">
        <f>(5.01*(B394^0.59)*$Z$45)/(86.4*I$13)</f>
        <v>75.48593626407299</v>
      </c>
      <c r="H394" s="74">
        <f t="shared" si="132"/>
        <v>60.024512648605509</v>
      </c>
      <c r="I394" s="22">
        <f t="shared" si="133"/>
        <v>0.54593957543331728</v>
      </c>
      <c r="J394" s="32">
        <v>4.7</v>
      </c>
      <c r="K394" s="22" t="s">
        <v>72</v>
      </c>
      <c r="L394" s="10">
        <f>EXP(1)</f>
        <v>2.7182818284590451</v>
      </c>
      <c r="M394" s="22">
        <f t="shared" si="135"/>
        <v>34.40422435992275</v>
      </c>
      <c r="N394" s="10">
        <f t="shared" si="134"/>
        <v>0.65407270646240967</v>
      </c>
      <c r="O394" s="22"/>
      <c r="P394" s="22"/>
      <c r="Q394" s="89">
        <v>52.6</v>
      </c>
      <c r="R394" s="89"/>
      <c r="S394" s="10"/>
      <c r="T394" s="10"/>
      <c r="U394" s="10"/>
      <c r="V394" s="5"/>
      <c r="W394" s="5"/>
    </row>
    <row r="395" spans="1:23" x14ac:dyDescent="0.25">
      <c r="A395" s="22" t="s">
        <v>3</v>
      </c>
      <c r="B395" s="10">
        <v>113.1</v>
      </c>
      <c r="C395" s="10"/>
      <c r="D395" s="70">
        <v>6521</v>
      </c>
      <c r="E395" s="10"/>
      <c r="F395" s="10"/>
      <c r="G395" s="74">
        <f>(5.01*(B395^0.59)*$Z$45)/(86.4*I$14)</f>
        <v>109.75309092332724</v>
      </c>
      <c r="H395" s="74">
        <f t="shared" si="132"/>
        <v>20.459989972648636</v>
      </c>
      <c r="I395" s="22">
        <f t="shared" si="133"/>
        <v>0.18608927829915878</v>
      </c>
      <c r="J395" s="32">
        <v>4.7</v>
      </c>
      <c r="K395" s="22"/>
      <c r="L395" s="22"/>
      <c r="M395" s="22">
        <f t="shared" si="135"/>
        <v>84.104224359922753</v>
      </c>
      <c r="N395" s="10">
        <f t="shared" si="134"/>
        <v>1.2820765908524812</v>
      </c>
      <c r="O395" s="22"/>
      <c r="P395" s="22"/>
      <c r="Q395" s="89">
        <v>65.599999999999994</v>
      </c>
      <c r="R395" s="89"/>
      <c r="S395" s="10"/>
      <c r="T395" s="10"/>
      <c r="U395" s="10"/>
      <c r="V395" s="5"/>
      <c r="W395" s="5"/>
    </row>
    <row r="396" spans="1:23" x14ac:dyDescent="0.25">
      <c r="A396" s="22" t="s">
        <v>4</v>
      </c>
      <c r="B396" s="10">
        <v>91.5</v>
      </c>
      <c r="C396" s="10"/>
      <c r="D396" s="58">
        <v>6.31</v>
      </c>
      <c r="E396" s="10"/>
      <c r="F396" s="10"/>
      <c r="G396" s="74">
        <f>(5.01*(B396^0.59)*$Z$45)/(86.4*I$15)</f>
        <v>93.728535095141822</v>
      </c>
      <c r="H396" s="74">
        <f t="shared" si="132"/>
        <v>34.985276714116658</v>
      </c>
      <c r="I396" s="22">
        <f t="shared" si="133"/>
        <v>0.3182007861943999</v>
      </c>
      <c r="J396" s="32">
        <v>4.7</v>
      </c>
      <c r="K396" s="22" t="s">
        <v>77</v>
      </c>
      <c r="L396" s="22">
        <v>86400</v>
      </c>
      <c r="M396" s="22">
        <f t="shared" si="135"/>
        <v>62.504224359922759</v>
      </c>
      <c r="N396" s="10">
        <f t="shared" si="134"/>
        <v>0.96905774201430639</v>
      </c>
      <c r="O396" s="22"/>
      <c r="P396" s="22"/>
      <c r="Q396" s="89">
        <v>64.5</v>
      </c>
      <c r="R396" s="89"/>
      <c r="S396" s="10"/>
      <c r="T396" s="10"/>
      <c r="U396" s="10"/>
      <c r="V396" s="5"/>
      <c r="W396" s="5"/>
    </row>
    <row r="397" spans="1:23" x14ac:dyDescent="0.25">
      <c r="A397" s="22" t="s">
        <v>5</v>
      </c>
      <c r="B397" s="10">
        <v>5.0999999999999996</v>
      </c>
      <c r="C397" s="10"/>
      <c r="D397" s="70">
        <v>2197</v>
      </c>
      <c r="E397" s="10"/>
      <c r="F397" s="10"/>
      <c r="G397" s="74">
        <f>(5.01*(B397^0.59)*$Z$45)/(86.4*I$16)</f>
        <v>17.633569217278851</v>
      </c>
      <c r="H397" s="74">
        <f t="shared" si="132"/>
        <v>166.8275029908549</v>
      </c>
      <c r="I397" s="22">
        <f t="shared" si="133"/>
        <v>3.376907542265585</v>
      </c>
      <c r="J397" s="32">
        <v>3.9</v>
      </c>
      <c r="K397" s="22" t="s">
        <v>78</v>
      </c>
      <c r="L397" s="22">
        <f>L396*15</f>
        <v>1296000</v>
      </c>
      <c r="M397" s="22">
        <f t="shared" si="135"/>
        <v>-23.895775640077247</v>
      </c>
      <c r="N397" s="10">
        <f t="shared" si="134"/>
        <v>-0.40917424041228162</v>
      </c>
      <c r="O397" s="22" t="s">
        <v>67</v>
      </c>
      <c r="P397" s="22">
        <v>0.65</v>
      </c>
      <c r="Q397" s="89">
        <v>58.4</v>
      </c>
      <c r="R397" s="89"/>
      <c r="S397" s="10"/>
      <c r="T397" s="10"/>
      <c r="U397" s="10"/>
      <c r="V397" s="5"/>
      <c r="W397" s="5"/>
    </row>
    <row r="398" spans="1:23" x14ac:dyDescent="0.25">
      <c r="A398" s="22" t="s">
        <v>6</v>
      </c>
      <c r="B398" s="10">
        <v>7</v>
      </c>
      <c r="C398" s="10"/>
      <c r="D398" s="58">
        <v>0.95099999999999996</v>
      </c>
      <c r="E398" s="10"/>
      <c r="F398" s="10"/>
      <c r="G398" s="74">
        <f>(5.01*(B398^0.59)*$Z$45)/(86.4*I$17)</f>
        <v>20.570328511323012</v>
      </c>
      <c r="H398" s="74">
        <f t="shared" si="132"/>
        <v>35.685501502329465</v>
      </c>
      <c r="I398" s="22">
        <f t="shared" si="133"/>
        <v>3.237315658397613</v>
      </c>
      <c r="J398" s="32">
        <v>2.4</v>
      </c>
      <c r="K398" s="22"/>
      <c r="L398" s="22"/>
      <c r="M398" s="22">
        <f>(B398-(0.74*P$393))</f>
        <v>-21.995775640077245</v>
      </c>
      <c r="N398" s="10">
        <f t="shared" si="134"/>
        <v>-0.38454153216918258</v>
      </c>
      <c r="O398" s="22" t="s">
        <v>68</v>
      </c>
      <c r="P398" s="22">
        <v>0.45</v>
      </c>
      <c r="Q398" s="89">
        <v>57.2</v>
      </c>
      <c r="R398" s="89"/>
      <c r="S398" s="10"/>
      <c r="T398" s="10"/>
      <c r="U398" s="10"/>
      <c r="V398" s="5"/>
      <c r="W398" s="5"/>
    </row>
    <row r="399" spans="1:23" x14ac:dyDescent="0.25">
      <c r="A399" s="22" t="s">
        <v>7</v>
      </c>
      <c r="B399" s="10">
        <v>1.3</v>
      </c>
      <c r="C399" s="10"/>
      <c r="D399" s="58">
        <v>0.51</v>
      </c>
      <c r="E399" s="10"/>
      <c r="F399" s="10"/>
      <c r="G399" s="74">
        <f>(5.01*(B399^0.59)*$Z$45)/(86.4*I$18)</f>
        <v>7.6183331727724477</v>
      </c>
      <c r="H399" s="74">
        <f t="shared" si="132"/>
        <v>11.638554581238255</v>
      </c>
      <c r="I399" s="22">
        <f t="shared" si="133"/>
        <v>3.8741382761360601</v>
      </c>
      <c r="J399" s="32">
        <v>1.1000000000000001</v>
      </c>
      <c r="K399" s="22"/>
      <c r="L399" s="22"/>
      <c r="M399" s="22">
        <f>(B399-(0.74*P$393))</f>
        <v>-27.695775640077244</v>
      </c>
      <c r="N399" s="10">
        <f t="shared" si="134"/>
        <v>-0.48932465795189478</v>
      </c>
      <c r="O399" s="22" t="s">
        <v>69</v>
      </c>
      <c r="P399" s="22">
        <f>-1+(EXP(1)*(0.5*P400))</f>
        <v>3.0774227426885679</v>
      </c>
      <c r="Q399" s="89">
        <v>56.6</v>
      </c>
      <c r="R399" s="89"/>
      <c r="S399" s="10"/>
      <c r="T399" s="10"/>
      <c r="U399" s="10"/>
      <c r="V399" s="5"/>
      <c r="W399" s="5"/>
    </row>
    <row r="400" spans="1:23" x14ac:dyDescent="0.25">
      <c r="A400" s="22" t="s">
        <v>8</v>
      </c>
      <c r="B400" s="10">
        <v>90.3</v>
      </c>
      <c r="C400" s="10"/>
      <c r="D400" s="70">
        <v>4982</v>
      </c>
      <c r="E400" s="10"/>
      <c r="F400" s="10"/>
      <c r="G400" s="74">
        <f>(5.01*(B400^0.59)*$Z$45)/(86.4*I$19)</f>
        <v>96.101373711312846</v>
      </c>
      <c r="H400" s="74">
        <f t="shared" si="132"/>
        <v>0.74745864995612787</v>
      </c>
      <c r="I400" s="22">
        <f t="shared" si="133"/>
        <v>0.24880737083040189</v>
      </c>
      <c r="J400" s="32">
        <v>1.1000000000000001</v>
      </c>
      <c r="K400" s="22"/>
      <c r="L400" s="22"/>
      <c r="M400" s="22">
        <f t="shared" si="135"/>
        <v>61.304224359922756</v>
      </c>
      <c r="N400" s="10">
        <f t="shared" si="134"/>
        <v>1.1125993531746416</v>
      </c>
      <c r="O400" s="22" t="s">
        <v>74</v>
      </c>
      <c r="P400" s="22">
        <v>3</v>
      </c>
      <c r="Q400" s="89">
        <v>55.1</v>
      </c>
      <c r="R400" s="89"/>
      <c r="S400" s="10"/>
      <c r="T400" s="10"/>
      <c r="U400" s="10"/>
      <c r="V400" s="5"/>
      <c r="W400" s="5"/>
    </row>
    <row r="401" spans="1:23" ht="18.75" x14ac:dyDescent="0.3">
      <c r="A401" s="22" t="s">
        <v>9</v>
      </c>
      <c r="B401" s="10">
        <v>72.900000000000006</v>
      </c>
      <c r="C401" s="10"/>
      <c r="D401" s="70">
        <v>5411</v>
      </c>
      <c r="E401" s="10"/>
      <c r="F401" s="10"/>
      <c r="G401" s="74">
        <f>(5.01*(B401^0.59)*$Z$45)/(86.4*I$20)</f>
        <v>81.967676704579901</v>
      </c>
      <c r="H401" s="74">
        <f t="shared" si="132"/>
        <v>5.0788402415381961</v>
      </c>
      <c r="I401" s="22">
        <f t="shared" si="133"/>
        <v>0.46074199179625469</v>
      </c>
      <c r="J401" s="32">
        <v>2.4</v>
      </c>
      <c r="K401" s="22"/>
      <c r="L401" s="22"/>
      <c r="M401" s="22">
        <f t="shared" si="135"/>
        <v>43.904224359922765</v>
      </c>
      <c r="N401" s="10">
        <f t="shared" si="134"/>
        <v>0.75307417426968726</v>
      </c>
      <c r="O401" s="45" t="s">
        <v>75</v>
      </c>
      <c r="P401" s="10"/>
      <c r="Q401" s="89">
        <v>58.3</v>
      </c>
      <c r="R401" s="89"/>
      <c r="S401" s="10"/>
      <c r="T401" s="10"/>
      <c r="U401" s="10"/>
      <c r="V401" s="5"/>
      <c r="W401" s="5"/>
    </row>
    <row r="402" spans="1:23" x14ac:dyDescent="0.25">
      <c r="A402" s="22" t="s">
        <v>10</v>
      </c>
      <c r="B402" s="10">
        <v>86.2</v>
      </c>
      <c r="C402" s="10"/>
      <c r="D402" s="70">
        <v>5712</v>
      </c>
      <c r="E402" s="10"/>
      <c r="F402" s="10"/>
      <c r="G402" s="74">
        <f>(5.01*(B402^0.59)*$Z$45)/(86.4*I$21)</f>
        <v>93.502475665712566</v>
      </c>
      <c r="H402" s="74">
        <f t="shared" si="132"/>
        <v>15.794706631502848</v>
      </c>
      <c r="I402" s="22">
        <f t="shared" si="133"/>
        <v>0.31971505294734298</v>
      </c>
      <c r="J402" s="32">
        <v>3.9</v>
      </c>
      <c r="K402" s="22"/>
      <c r="L402" s="22"/>
      <c r="M402" s="22">
        <f t="shared" si="135"/>
        <v>57.204224359922762</v>
      </c>
      <c r="N402" s="10">
        <f t="shared" si="134"/>
        <v>0.96628757364734386</v>
      </c>
      <c r="O402" s="10"/>
      <c r="P402" s="22"/>
      <c r="Q402" s="89">
        <v>59.2</v>
      </c>
      <c r="R402" s="89"/>
      <c r="S402" s="10"/>
      <c r="T402" s="10"/>
      <c r="U402" s="10"/>
      <c r="V402" s="5"/>
      <c r="W402" s="5"/>
    </row>
    <row r="403" spans="1:23" x14ac:dyDescent="0.25">
      <c r="A403" s="22" t="s">
        <v>11</v>
      </c>
      <c r="B403" s="10">
        <v>80.900000000000006</v>
      </c>
      <c r="C403" s="10"/>
      <c r="D403" s="58">
        <v>5.62</v>
      </c>
      <c r="E403" s="10"/>
      <c r="F403" s="10"/>
      <c r="G403" s="74">
        <f>(5.01*(B403^0.59)*$Z$45)/(86.4*I$22)</f>
        <v>87.16116203583006</v>
      </c>
      <c r="H403" s="74">
        <f t="shared" si="132"/>
        <v>20.386209774032885</v>
      </c>
      <c r="I403" s="22">
        <f t="shared" si="133"/>
        <v>0.41265585296156948</v>
      </c>
      <c r="J403" s="32">
        <v>3.9</v>
      </c>
      <c r="K403" s="22"/>
      <c r="L403" s="22"/>
      <c r="M403" s="22">
        <f t="shared" si="135"/>
        <v>51.904224359922765</v>
      </c>
      <c r="N403" s="10">
        <f t="shared" si="134"/>
        <v>0.8173893599987837</v>
      </c>
      <c r="O403" s="22"/>
      <c r="P403" s="22"/>
      <c r="Q403" s="89">
        <v>63.5</v>
      </c>
      <c r="R403" s="89"/>
      <c r="S403" s="10"/>
      <c r="T403" s="10"/>
      <c r="U403" s="10"/>
      <c r="V403" s="5"/>
      <c r="W403" s="5"/>
    </row>
    <row r="404" spans="1:23" x14ac:dyDescent="0.25">
      <c r="A404" s="22" t="s">
        <v>12</v>
      </c>
      <c r="B404" s="22">
        <v>2005</v>
      </c>
      <c r="C404" s="22">
        <v>2005</v>
      </c>
      <c r="D404" s="56">
        <v>2005</v>
      </c>
      <c r="E404" s="22">
        <v>2005</v>
      </c>
      <c r="F404" s="22">
        <v>2005</v>
      </c>
      <c r="G404" s="56">
        <v>2005</v>
      </c>
      <c r="H404" s="56">
        <v>2005</v>
      </c>
      <c r="I404" s="22">
        <v>2005</v>
      </c>
      <c r="J404" s="47" t="s">
        <v>70</v>
      </c>
      <c r="K404" s="49" t="s">
        <v>61</v>
      </c>
      <c r="L404" s="49" t="s">
        <v>62</v>
      </c>
      <c r="M404" s="39" t="s">
        <v>60</v>
      </c>
      <c r="N404" s="39" t="s">
        <v>73</v>
      </c>
      <c r="O404" s="105" t="s">
        <v>57</v>
      </c>
      <c r="P404" s="105"/>
      <c r="Q404" s="10"/>
      <c r="R404" s="10"/>
      <c r="S404" s="10"/>
      <c r="T404" s="10"/>
      <c r="U404" s="10"/>
      <c r="V404" s="5"/>
      <c r="W404" s="5"/>
    </row>
    <row r="405" spans="1:23" x14ac:dyDescent="0.25">
      <c r="A405" s="22" t="s">
        <v>0</v>
      </c>
      <c r="B405" s="10">
        <v>41.1</v>
      </c>
      <c r="C405" s="10"/>
      <c r="D405" s="70">
        <v>3916</v>
      </c>
      <c r="E405" s="10"/>
      <c r="F405" s="10"/>
      <c r="G405" s="74">
        <f>(5.01*(B405^0.59)*$Z$45)/(86.4*I$11)</f>
        <v>58.452091949631772</v>
      </c>
      <c r="H405" s="74">
        <f t="shared" ref="H405:H416" si="136">L$30^(J405-(0.6458446*LN(P$34))-(9.53942*N405*(P$34/P$33))+(4.8904*N405))</f>
        <v>140.46817162773937</v>
      </c>
      <c r="I405" s="22">
        <f t="shared" ref="I405:I416" si="137">L$30^(K$28-(0.6458446*LN(P$34))-(9.53942*N405*(P$34/P$33))+(4.8904*N405))</f>
        <v>1.2775969449228666</v>
      </c>
      <c r="J405" s="32">
        <v>4.7</v>
      </c>
      <c r="K405" s="22">
        <f>(10^-8)*((P412/P411)^-7.2474)</f>
        <v>8.8839224002565862E-15</v>
      </c>
      <c r="L405" s="22">
        <f>(-3.2951*(P411/P410))+5.33</f>
        <v>3.0487769230769231</v>
      </c>
      <c r="M405" s="22">
        <f>(B405-(0.74*P$406))</f>
        <v>10.331229747050532</v>
      </c>
      <c r="N405" s="10">
        <f t="shared" ref="N405:N416" si="138">M405/Q405</f>
        <v>0.15796987380811209</v>
      </c>
      <c r="O405" s="22" t="s">
        <v>58</v>
      </c>
      <c r="P405" s="22">
        <f>(B405+B406+B407+B408+B409+B410+B411+B412+B413+B414+B415+B416)/12</f>
        <v>62.091666666666669</v>
      </c>
      <c r="Q405" s="89">
        <v>65.400000000000006</v>
      </c>
      <c r="R405" s="89"/>
      <c r="S405" s="10"/>
      <c r="T405" s="10"/>
      <c r="U405" s="10"/>
      <c r="V405" s="5"/>
      <c r="W405" s="5"/>
    </row>
    <row r="406" spans="1:23" x14ac:dyDescent="0.25">
      <c r="A406" s="22" t="s">
        <v>1</v>
      </c>
      <c r="B406" s="10">
        <v>145.30000000000001</v>
      </c>
      <c r="C406" s="10"/>
      <c r="D406" s="70">
        <v>7488</v>
      </c>
      <c r="E406" s="10"/>
      <c r="F406" s="10"/>
      <c r="G406" s="74">
        <f>(5.01*(B406^0.59)*$Z$45)/(86.4*I$12)</f>
        <v>136.32445144865946</v>
      </c>
      <c r="H406" s="74">
        <f t="shared" si="136"/>
        <v>6.7991719698990183</v>
      </c>
      <c r="I406" s="22">
        <f t="shared" si="137"/>
        <v>6.1840353128315172E-2</v>
      </c>
      <c r="J406" s="32">
        <v>4.7</v>
      </c>
      <c r="K406" s="22"/>
      <c r="L406" s="22"/>
      <c r="M406" s="22">
        <f t="shared" ref="M406:M416" si="139">(B406-(0.74*P$406))</f>
        <v>114.53122974705055</v>
      </c>
      <c r="N406" s="10">
        <f t="shared" si="138"/>
        <v>1.9248946175974881</v>
      </c>
      <c r="O406" s="22" t="s">
        <v>66</v>
      </c>
      <c r="P406" s="22">
        <f>((((B405-P405)^2+(B406-P405)^2+(B407-P405)^2+(B408-P405)^2+(B409-P405)^2+(B410-P405)^2+(B411-P405)^2+(B412-P405)^2+(B413-P405)^2+(B414-P405)^2+(B415-P405)^2+(B416-P405)^2))/(12-1))^0.5</f>
        <v>41.579419260742526</v>
      </c>
      <c r="Q406" s="89">
        <v>59.5</v>
      </c>
      <c r="R406" s="89"/>
      <c r="S406" s="10"/>
      <c r="T406" s="10"/>
      <c r="U406" s="10"/>
      <c r="V406" s="5"/>
      <c r="W406" s="5"/>
    </row>
    <row r="407" spans="1:23" x14ac:dyDescent="0.25">
      <c r="A407" s="22" t="s">
        <v>2</v>
      </c>
      <c r="B407" s="10">
        <v>126.1</v>
      </c>
      <c r="C407" s="10"/>
      <c r="D407" s="70">
        <v>8105</v>
      </c>
      <c r="E407" s="10"/>
      <c r="F407" s="10"/>
      <c r="G407" s="74">
        <f>(5.01*(B407^0.59)*$Z$45)/(86.4*I$13)</f>
        <v>113.25445251057906</v>
      </c>
      <c r="H407" s="74">
        <f t="shared" si="136"/>
        <v>8.2451783326535129</v>
      </c>
      <c r="I407" s="22">
        <f t="shared" si="137"/>
        <v>7.4992181688382717E-2</v>
      </c>
      <c r="J407" s="32">
        <v>4.7</v>
      </c>
      <c r="K407" s="22" t="s">
        <v>72</v>
      </c>
      <c r="L407" s="10">
        <f>EXP(1)</f>
        <v>2.7182818284590451</v>
      </c>
      <c r="M407" s="22">
        <f t="shared" si="139"/>
        <v>95.331229747050529</v>
      </c>
      <c r="N407" s="10">
        <f t="shared" si="138"/>
        <v>1.8123807936701621</v>
      </c>
      <c r="O407" s="22"/>
      <c r="P407" s="22"/>
      <c r="Q407" s="89">
        <v>52.6</v>
      </c>
      <c r="R407" s="89"/>
      <c r="S407" s="10"/>
      <c r="T407" s="10"/>
      <c r="U407" s="10"/>
      <c r="V407" s="5"/>
      <c r="W407" s="5"/>
    </row>
    <row r="408" spans="1:23" x14ac:dyDescent="0.25">
      <c r="A408" s="22" t="s">
        <v>3</v>
      </c>
      <c r="B408" s="10">
        <v>76.900000000000006</v>
      </c>
      <c r="C408" s="10"/>
      <c r="D408" s="70">
        <v>5898</v>
      </c>
      <c r="E408" s="10"/>
      <c r="F408" s="10"/>
      <c r="G408" s="74">
        <f>(5.01*(B408^0.59)*$Z$45)/(86.4*I$14)</f>
        <v>87.411860399748363</v>
      </c>
      <c r="H408" s="74">
        <f t="shared" si="136"/>
        <v>55.175762384966681</v>
      </c>
      <c r="I408" s="22">
        <f t="shared" si="137"/>
        <v>0.50183884818860125</v>
      </c>
      <c r="J408" s="32">
        <v>4.7</v>
      </c>
      <c r="K408" s="22"/>
      <c r="L408" s="22"/>
      <c r="M408" s="22">
        <f t="shared" si="139"/>
        <v>46.13122974705054</v>
      </c>
      <c r="N408" s="10">
        <f t="shared" si="138"/>
        <v>0.70321996565625833</v>
      </c>
      <c r="O408" s="22"/>
      <c r="P408" s="22"/>
      <c r="Q408" s="89">
        <v>65.599999999999994</v>
      </c>
      <c r="R408" s="89"/>
      <c r="S408" s="10"/>
      <c r="T408" s="10"/>
      <c r="U408" s="10"/>
      <c r="V408" s="5"/>
      <c r="W408" s="5"/>
    </row>
    <row r="409" spans="1:23" x14ac:dyDescent="0.25">
      <c r="A409" s="22" t="s">
        <v>4</v>
      </c>
      <c r="B409" s="10">
        <v>34</v>
      </c>
      <c r="C409" s="10"/>
      <c r="D409" s="70">
        <v>3529</v>
      </c>
      <c r="E409" s="10"/>
      <c r="F409" s="10"/>
      <c r="G409" s="74">
        <f>(5.01*(B409^0.59)*$Z$45)/(86.4*I$15)</f>
        <v>52.264397102819892</v>
      </c>
      <c r="H409" s="74">
        <f t="shared" si="136"/>
        <v>168.99272425589365</v>
      </c>
      <c r="I409" s="22">
        <f t="shared" si="137"/>
        <v>1.5370356552778386</v>
      </c>
      <c r="J409" s="32">
        <v>4.7</v>
      </c>
      <c r="K409" s="22" t="s">
        <v>77</v>
      </c>
      <c r="L409" s="22">
        <v>86400</v>
      </c>
      <c r="M409" s="22">
        <f t="shared" si="139"/>
        <v>3.2312297470505307</v>
      </c>
      <c r="N409" s="10">
        <f t="shared" si="138"/>
        <v>5.0096585225589622E-2</v>
      </c>
      <c r="O409" s="22"/>
      <c r="P409" s="22"/>
      <c r="Q409" s="89">
        <v>64.5</v>
      </c>
      <c r="R409" s="89"/>
      <c r="S409" s="10"/>
      <c r="T409" s="10"/>
      <c r="U409" s="10"/>
      <c r="V409" s="5"/>
      <c r="W409" s="5"/>
    </row>
    <row r="410" spans="1:23" x14ac:dyDescent="0.25">
      <c r="A410" s="22" t="s">
        <v>5</v>
      </c>
      <c r="B410" s="10">
        <v>30</v>
      </c>
      <c r="C410" s="10"/>
      <c r="D410" s="58">
        <v>2.78</v>
      </c>
      <c r="E410" s="10"/>
      <c r="F410" s="10"/>
      <c r="G410" s="74">
        <f>(5.01*(B410^0.59)*$Z$45)/(86.4*I$16)</f>
        <v>50.162059997287848</v>
      </c>
      <c r="H410" s="74">
        <f t="shared" si="136"/>
        <v>84.62860360314555</v>
      </c>
      <c r="I410" s="22">
        <f t="shared" si="137"/>
        <v>1.7130446999169706</v>
      </c>
      <c r="J410" s="32">
        <v>3.9</v>
      </c>
      <c r="K410" s="22" t="s">
        <v>78</v>
      </c>
      <c r="L410" s="22">
        <f>L409*15</f>
        <v>1296000</v>
      </c>
      <c r="M410" s="22">
        <f t="shared" si="139"/>
        <v>-0.76877025294946932</v>
      </c>
      <c r="N410" s="10">
        <f t="shared" si="138"/>
        <v>-1.3163874194340229E-2</v>
      </c>
      <c r="O410" s="22" t="s">
        <v>67</v>
      </c>
      <c r="P410" s="22">
        <v>0.65</v>
      </c>
      <c r="Q410" s="89">
        <v>58.4</v>
      </c>
      <c r="R410" s="89"/>
      <c r="S410" s="10"/>
      <c r="T410" s="10"/>
      <c r="U410" s="10"/>
      <c r="V410" s="5"/>
      <c r="W410" s="5"/>
    </row>
    <row r="411" spans="1:23" x14ac:dyDescent="0.25">
      <c r="A411" s="22" t="s">
        <v>6</v>
      </c>
      <c r="B411" s="10">
        <v>20.9</v>
      </c>
      <c r="C411" s="10"/>
      <c r="D411" s="70">
        <v>2212</v>
      </c>
      <c r="E411" s="10"/>
      <c r="F411" s="10"/>
      <c r="G411" s="74">
        <f>(5.01*(B411^0.59)*$Z$45)/(86.4*I$17)</f>
        <v>39.221093038537951</v>
      </c>
      <c r="H411" s="74">
        <f t="shared" si="136"/>
        <v>24.81374694890977</v>
      </c>
      <c r="I411" s="22">
        <f t="shared" si="137"/>
        <v>2.2510523366465196</v>
      </c>
      <c r="J411" s="32">
        <v>2.4</v>
      </c>
      <c r="K411" s="22"/>
      <c r="L411" s="22"/>
      <c r="M411" s="22">
        <f>(B411-(0.74*P$406))</f>
        <v>-9.8687702529494707</v>
      </c>
      <c r="N411" s="10">
        <f t="shared" si="138"/>
        <v>-0.1725309484781376</v>
      </c>
      <c r="O411" s="22" t="s">
        <v>68</v>
      </c>
      <c r="P411" s="22">
        <v>0.45</v>
      </c>
      <c r="Q411" s="89">
        <v>57.2</v>
      </c>
      <c r="R411" s="89"/>
      <c r="S411" s="10"/>
      <c r="T411" s="10"/>
      <c r="U411" s="10"/>
      <c r="V411" s="5"/>
      <c r="W411" s="5"/>
    </row>
    <row r="412" spans="1:23" x14ac:dyDescent="0.25">
      <c r="A412" s="22" t="s">
        <v>7</v>
      </c>
      <c r="B412" s="10">
        <v>12.5</v>
      </c>
      <c r="C412" s="10"/>
      <c r="D412" s="70">
        <v>1563</v>
      </c>
      <c r="E412" s="10"/>
      <c r="F412" s="10"/>
      <c r="G412" s="74">
        <f>(5.01*(B412^0.59)*$Z$45)/(86.4*I$18)</f>
        <v>28.96078247005314</v>
      </c>
      <c r="H412" s="74">
        <f t="shared" si="136"/>
        <v>8.7484734569830138</v>
      </c>
      <c r="I412" s="22">
        <f t="shared" si="137"/>
        <v>2.9121138403298459</v>
      </c>
      <c r="J412" s="32">
        <v>1.1000000000000001</v>
      </c>
      <c r="K412" s="22"/>
      <c r="L412" s="22"/>
      <c r="M412" s="22">
        <f t="shared" si="139"/>
        <v>-18.268770252949469</v>
      </c>
      <c r="N412" s="10">
        <f t="shared" si="138"/>
        <v>-0.32276979245493759</v>
      </c>
      <c r="O412" s="22" t="s">
        <v>69</v>
      </c>
      <c r="P412" s="22">
        <f>-1+(EXP(1)*(0.5*P413))</f>
        <v>3.0774227426885679</v>
      </c>
      <c r="Q412" s="89">
        <v>56.6</v>
      </c>
      <c r="R412" s="89"/>
      <c r="S412" s="10"/>
      <c r="T412" s="10"/>
      <c r="U412" s="10"/>
      <c r="V412" s="5"/>
      <c r="W412" s="5"/>
    </row>
    <row r="413" spans="1:23" x14ac:dyDescent="0.25">
      <c r="A413" s="22" t="s">
        <v>8</v>
      </c>
      <c r="B413" s="10">
        <v>51.5</v>
      </c>
      <c r="C413" s="10"/>
      <c r="D413" s="70">
        <v>3483</v>
      </c>
      <c r="E413" s="10"/>
      <c r="F413" s="10"/>
      <c r="G413" s="74">
        <f>(5.01*(B413^0.59)*$Z$45)/(86.4*I$19)</f>
        <v>68.99856969692199</v>
      </c>
      <c r="H413" s="74">
        <f t="shared" si="136"/>
        <v>2.6403036829139137</v>
      </c>
      <c r="I413" s="22">
        <f t="shared" si="137"/>
        <v>0.87888074822359286</v>
      </c>
      <c r="J413" s="32">
        <v>1.1000000000000001</v>
      </c>
      <c r="K413" s="22"/>
      <c r="L413" s="22"/>
      <c r="M413" s="22">
        <f t="shared" si="139"/>
        <v>20.731229747050531</v>
      </c>
      <c r="N413" s="10">
        <f t="shared" si="138"/>
        <v>0.37624736383031815</v>
      </c>
      <c r="O413" s="22" t="s">
        <v>74</v>
      </c>
      <c r="P413" s="22">
        <v>3</v>
      </c>
      <c r="Q413" s="89">
        <v>55.1</v>
      </c>
      <c r="R413" s="89"/>
      <c r="S413" s="10"/>
      <c r="T413" s="10"/>
      <c r="U413" s="10"/>
      <c r="V413" s="5"/>
      <c r="W413" s="5"/>
    </row>
    <row r="414" spans="1:23" ht="18.75" x14ac:dyDescent="0.3">
      <c r="A414" s="22" t="s">
        <v>9</v>
      </c>
      <c r="B414" s="10">
        <v>86.6</v>
      </c>
      <c r="C414" s="10"/>
      <c r="D414" s="70">
        <v>5519</v>
      </c>
      <c r="E414" s="10"/>
      <c r="F414" s="10"/>
      <c r="G414" s="74">
        <f>(5.01*(B414^0.59)*$Z$45)/(86.4*I$20)</f>
        <v>90.733766644129346</v>
      </c>
      <c r="H414" s="74">
        <f t="shared" si="136"/>
        <v>3.576809325518886</v>
      </c>
      <c r="I414" s="22">
        <f t="shared" si="137"/>
        <v>0.32448082131756029</v>
      </c>
      <c r="J414" s="32">
        <v>2.4</v>
      </c>
      <c r="K414" s="22"/>
      <c r="L414" s="22"/>
      <c r="M414" s="22">
        <f t="shared" si="139"/>
        <v>55.831229747050529</v>
      </c>
      <c r="N414" s="10">
        <f t="shared" si="138"/>
        <v>0.95765402653602971</v>
      </c>
      <c r="O414" s="45" t="s">
        <v>75</v>
      </c>
      <c r="P414" s="10"/>
      <c r="Q414" s="89">
        <v>58.3</v>
      </c>
      <c r="R414" s="89"/>
      <c r="S414" s="10"/>
      <c r="T414" s="10"/>
      <c r="U414" s="10"/>
      <c r="V414" s="5"/>
      <c r="W414" s="5"/>
    </row>
    <row r="415" spans="1:23" x14ac:dyDescent="0.25">
      <c r="A415" s="22" t="s">
        <v>10</v>
      </c>
      <c r="B415" s="10">
        <v>42.2</v>
      </c>
      <c r="C415" s="10"/>
      <c r="D415" s="70">
        <v>4077</v>
      </c>
      <c r="E415" s="10"/>
      <c r="F415" s="10"/>
      <c r="G415" s="74">
        <f>(5.01*(B415^0.59)*$Z$45)/(86.4*I$21)</f>
        <v>61.349096203673092</v>
      </c>
      <c r="H415" s="74">
        <f t="shared" si="136"/>
        <v>59.429030305507048</v>
      </c>
      <c r="I415" s="22">
        <f t="shared" si="137"/>
        <v>1.2029571687541103</v>
      </c>
      <c r="J415" s="32">
        <v>3.9</v>
      </c>
      <c r="K415" s="22"/>
      <c r="L415" s="22"/>
      <c r="M415" s="22">
        <f t="shared" si="139"/>
        <v>11.431229747050534</v>
      </c>
      <c r="N415" s="10">
        <f t="shared" si="138"/>
        <v>0.19309509707855629</v>
      </c>
      <c r="O415" s="10"/>
      <c r="P415" s="22"/>
      <c r="Q415" s="89">
        <v>59.2</v>
      </c>
      <c r="R415" s="89"/>
      <c r="S415" s="10"/>
      <c r="T415" s="10"/>
      <c r="U415" s="10"/>
      <c r="V415" s="5"/>
      <c r="W415" s="5"/>
    </row>
    <row r="416" spans="1:23" x14ac:dyDescent="0.25">
      <c r="A416" s="22" t="s">
        <v>11</v>
      </c>
      <c r="B416" s="10">
        <v>78</v>
      </c>
      <c r="C416" s="10"/>
      <c r="D416" s="70">
        <v>5005</v>
      </c>
      <c r="E416" s="10"/>
      <c r="F416" s="10"/>
      <c r="G416" s="74">
        <f>(5.01*(B416^0.59)*$Z$45)/(86.4*I$22)</f>
        <v>85.303961360296611</v>
      </c>
      <c r="H416" s="74">
        <f t="shared" si="136"/>
        <v>23.126497567144355</v>
      </c>
      <c r="I416" s="22">
        <f t="shared" si="137"/>
        <v>0.4681245158057511</v>
      </c>
      <c r="J416" s="32">
        <v>3.9</v>
      </c>
      <c r="K416" s="22"/>
      <c r="L416" s="22"/>
      <c r="M416" s="22">
        <f t="shared" si="139"/>
        <v>47.231229747050534</v>
      </c>
      <c r="N416" s="10">
        <f t="shared" si="138"/>
        <v>0.74379889365433915</v>
      </c>
      <c r="O416" s="22"/>
      <c r="P416" s="22"/>
      <c r="Q416" s="89">
        <v>63.5</v>
      </c>
      <c r="R416" s="89"/>
      <c r="S416" s="10"/>
      <c r="T416" s="10"/>
      <c r="U416" s="10"/>
      <c r="V416" s="5"/>
      <c r="W416" s="5"/>
    </row>
    <row r="417" spans="1:24" x14ac:dyDescent="0.25">
      <c r="A417" s="22"/>
      <c r="B417" s="10"/>
      <c r="C417" s="10"/>
      <c r="D417" s="58"/>
      <c r="E417" s="10"/>
      <c r="F417" s="10"/>
      <c r="G417" s="58"/>
      <c r="H417" s="58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5"/>
      <c r="U417" s="5"/>
      <c r="V417" s="5"/>
      <c r="W417" s="5"/>
      <c r="X417" s="5"/>
    </row>
    <row r="418" spans="1:24" x14ac:dyDescent="0.25">
      <c r="A418" s="22"/>
      <c r="B418" s="10"/>
      <c r="C418" s="10"/>
      <c r="D418" s="58"/>
      <c r="E418" s="10"/>
      <c r="F418" s="10"/>
      <c r="G418" s="56"/>
      <c r="H418" s="56"/>
      <c r="I418" s="22"/>
      <c r="J418" s="22"/>
      <c r="K418" s="22"/>
      <c r="L418" s="22"/>
      <c r="M418" s="22"/>
      <c r="N418" s="22"/>
      <c r="O418" s="22"/>
      <c r="P418" s="10"/>
      <c r="Q418" s="10"/>
      <c r="R418" s="10"/>
      <c r="S418" s="10"/>
    </row>
    <row r="419" spans="1:24" x14ac:dyDescent="0.25">
      <c r="A419" s="22"/>
      <c r="B419" s="10"/>
      <c r="C419" s="10"/>
      <c r="D419" s="58"/>
      <c r="E419" s="10"/>
      <c r="F419" s="10"/>
      <c r="G419" s="56"/>
      <c r="H419" s="56"/>
      <c r="I419" s="22"/>
      <c r="J419" s="22"/>
      <c r="K419" s="22"/>
      <c r="L419" s="22"/>
      <c r="M419" s="22"/>
      <c r="N419" s="22"/>
      <c r="O419" s="22"/>
      <c r="P419" s="10"/>
      <c r="Q419" s="10"/>
      <c r="R419" s="10"/>
      <c r="S419" s="10"/>
    </row>
    <row r="420" spans="1:24" x14ac:dyDescent="0.25">
      <c r="A420" s="22"/>
      <c r="B420" s="10"/>
      <c r="C420" s="10"/>
      <c r="D420" s="58"/>
      <c r="E420" s="10"/>
      <c r="F420" s="10"/>
      <c r="G420" s="56"/>
      <c r="H420" s="56"/>
      <c r="I420" s="22"/>
      <c r="J420" s="22"/>
      <c r="K420" s="22"/>
      <c r="L420" s="22"/>
      <c r="M420" s="22"/>
      <c r="N420" s="22"/>
      <c r="O420" s="22"/>
      <c r="P420" s="10"/>
      <c r="Q420" s="10"/>
      <c r="R420" s="10"/>
      <c r="S420" s="10"/>
    </row>
    <row r="421" spans="1:24" x14ac:dyDescent="0.25">
      <c r="A421" s="22"/>
      <c r="B421" s="10"/>
      <c r="C421" s="10"/>
      <c r="D421" s="58"/>
      <c r="E421" s="10"/>
      <c r="F421" s="10"/>
      <c r="G421" s="56"/>
      <c r="H421" s="56"/>
      <c r="I421" s="22"/>
      <c r="J421" s="22"/>
      <c r="K421" s="22"/>
      <c r="L421" s="22"/>
      <c r="M421" s="22"/>
      <c r="N421" s="22"/>
      <c r="O421" s="22"/>
      <c r="P421" s="10"/>
      <c r="Q421" s="10"/>
      <c r="R421" s="10"/>
      <c r="S421" s="10"/>
    </row>
    <row r="422" spans="1:24" x14ac:dyDescent="0.25">
      <c r="A422" s="22"/>
      <c r="B422" s="10"/>
      <c r="C422" s="10"/>
      <c r="D422" s="58"/>
      <c r="E422" s="10"/>
      <c r="F422" s="10"/>
      <c r="G422" s="56"/>
      <c r="H422" s="56"/>
      <c r="I422" s="22"/>
      <c r="J422" s="22"/>
      <c r="K422" s="22"/>
      <c r="L422" s="22"/>
      <c r="M422" s="22"/>
      <c r="N422" s="22"/>
      <c r="O422" s="22"/>
      <c r="P422" s="10"/>
      <c r="Q422" s="10"/>
      <c r="R422" s="10"/>
      <c r="S422" s="10"/>
    </row>
    <row r="423" spans="1:24" x14ac:dyDescent="0.25">
      <c r="A423" s="22"/>
      <c r="B423" s="10"/>
      <c r="C423" s="10"/>
      <c r="D423" s="58"/>
      <c r="E423" s="10"/>
      <c r="F423" s="10"/>
      <c r="G423" s="56"/>
      <c r="H423" s="56"/>
      <c r="I423" s="22"/>
      <c r="J423" s="22"/>
      <c r="K423" s="22"/>
      <c r="L423" s="22"/>
      <c r="M423" s="22"/>
      <c r="N423" s="22"/>
      <c r="O423" s="22"/>
      <c r="P423" s="10"/>
      <c r="Q423" s="10"/>
      <c r="R423" s="10"/>
      <c r="S423" s="10"/>
    </row>
    <row r="424" spans="1:24" x14ac:dyDescent="0.25">
      <c r="A424" s="22"/>
      <c r="B424" s="10"/>
      <c r="C424" s="10"/>
      <c r="D424" s="58"/>
      <c r="E424" s="10"/>
      <c r="F424" s="10"/>
      <c r="G424" s="56"/>
      <c r="H424" s="56"/>
      <c r="I424" s="22"/>
      <c r="J424" s="22"/>
      <c r="K424" s="22"/>
      <c r="L424" s="22"/>
      <c r="M424" s="22"/>
      <c r="N424" s="22"/>
      <c r="O424" s="22"/>
      <c r="P424" s="10"/>
      <c r="Q424" s="10"/>
      <c r="R424" s="10"/>
      <c r="S424" s="10"/>
    </row>
    <row r="425" spans="1:24" x14ac:dyDescent="0.25">
      <c r="A425" s="22"/>
      <c r="B425" s="10"/>
      <c r="C425" s="10"/>
      <c r="D425" s="58"/>
      <c r="E425" s="10"/>
      <c r="F425" s="10"/>
      <c r="G425" s="56"/>
      <c r="H425" s="56"/>
      <c r="I425" s="22"/>
      <c r="J425" s="22"/>
      <c r="K425" s="22"/>
      <c r="L425" s="22"/>
      <c r="M425" s="22"/>
      <c r="N425" s="22"/>
      <c r="O425" s="22"/>
      <c r="P425" s="10"/>
      <c r="Q425" s="10"/>
      <c r="R425" s="10"/>
      <c r="S425" s="10"/>
    </row>
    <row r="426" spans="1:24" x14ac:dyDescent="0.25">
      <c r="A426" s="22"/>
      <c r="B426" s="10"/>
      <c r="C426" s="10"/>
      <c r="D426" s="58"/>
      <c r="E426" s="10"/>
      <c r="F426" s="10"/>
      <c r="G426" s="56"/>
      <c r="H426" s="56"/>
      <c r="I426" s="22"/>
      <c r="J426" s="22"/>
      <c r="K426" s="22"/>
      <c r="L426" s="22"/>
      <c r="M426" s="22"/>
      <c r="N426" s="22"/>
      <c r="O426" s="22"/>
      <c r="P426" s="10"/>
      <c r="Q426" s="10"/>
      <c r="R426" s="10"/>
      <c r="S426" s="10"/>
    </row>
    <row r="427" spans="1:24" x14ac:dyDescent="0.25">
      <c r="A427" s="22"/>
      <c r="B427" s="10"/>
      <c r="C427" s="10"/>
      <c r="D427" s="58"/>
      <c r="E427" s="10"/>
      <c r="F427" s="10"/>
      <c r="G427" s="56"/>
      <c r="H427" s="56"/>
      <c r="I427" s="22"/>
      <c r="J427" s="22"/>
      <c r="K427" s="22"/>
      <c r="L427" s="22"/>
      <c r="M427" s="22"/>
      <c r="N427" s="22"/>
      <c r="O427" s="22"/>
      <c r="P427" s="10"/>
      <c r="Q427" s="10"/>
      <c r="R427" s="10"/>
      <c r="S427" s="10"/>
    </row>
    <row r="428" spans="1:24" x14ac:dyDescent="0.25">
      <c r="A428" s="22"/>
      <c r="B428" s="10"/>
      <c r="C428" s="10"/>
      <c r="D428" s="58"/>
      <c r="E428" s="10"/>
      <c r="F428" s="10"/>
      <c r="G428" s="56"/>
      <c r="H428" s="56"/>
      <c r="I428" s="22"/>
      <c r="J428" s="22"/>
      <c r="K428" s="22"/>
      <c r="L428" s="22"/>
      <c r="M428" s="22"/>
      <c r="N428" s="22"/>
      <c r="O428" s="22"/>
      <c r="P428" s="10"/>
      <c r="Q428" s="10"/>
      <c r="R428" s="10"/>
      <c r="S428" s="10"/>
    </row>
    <row r="429" spans="1:24" x14ac:dyDescent="0.25">
      <c r="A429" s="22"/>
      <c r="B429" s="10"/>
      <c r="C429" s="10"/>
      <c r="D429" s="58"/>
      <c r="E429" s="10"/>
      <c r="F429" s="10"/>
      <c r="G429" s="56"/>
      <c r="H429" s="56"/>
      <c r="I429" s="22"/>
      <c r="J429" s="22"/>
      <c r="K429" s="22"/>
      <c r="L429" s="22"/>
      <c r="M429" s="22"/>
      <c r="N429" s="22"/>
      <c r="O429" s="22"/>
      <c r="P429" s="10"/>
      <c r="Q429" s="10"/>
      <c r="R429" s="10"/>
      <c r="S429" s="10"/>
    </row>
    <row r="430" spans="1:24" x14ac:dyDescent="0.25">
      <c r="A430" s="22"/>
      <c r="B430" s="10"/>
      <c r="C430" s="10"/>
      <c r="D430" s="58"/>
      <c r="E430" s="10"/>
      <c r="F430" s="10"/>
      <c r="G430" s="58"/>
      <c r="H430" s="58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</row>
    <row r="431" spans="1:24" x14ac:dyDescent="0.25">
      <c r="A431" s="22"/>
      <c r="B431" s="10"/>
      <c r="C431" s="10"/>
      <c r="D431" s="58"/>
      <c r="E431" s="10"/>
      <c r="F431" s="10"/>
      <c r="G431" s="56"/>
      <c r="H431" s="56"/>
      <c r="I431" s="22"/>
      <c r="J431" s="22"/>
      <c r="K431" s="22"/>
      <c r="L431" s="22"/>
      <c r="M431" s="22"/>
      <c r="N431" s="22"/>
      <c r="O431" s="22"/>
      <c r="P431" s="10"/>
      <c r="Q431" s="10"/>
      <c r="R431" s="10"/>
      <c r="S431" s="10"/>
    </row>
    <row r="432" spans="1:24" x14ac:dyDescent="0.25">
      <c r="A432" s="22"/>
      <c r="B432" s="10"/>
      <c r="C432" s="10"/>
      <c r="D432" s="58"/>
      <c r="E432" s="10"/>
      <c r="F432" s="10"/>
      <c r="G432" s="56"/>
      <c r="H432" s="56"/>
      <c r="I432" s="22"/>
      <c r="J432" s="22"/>
      <c r="K432" s="22"/>
      <c r="L432" s="22"/>
      <c r="M432" s="22"/>
      <c r="N432" s="22"/>
      <c r="O432" s="22"/>
      <c r="P432" s="10"/>
      <c r="Q432" s="10"/>
      <c r="R432" s="10"/>
      <c r="S432" s="10"/>
    </row>
    <row r="433" spans="1:19" x14ac:dyDescent="0.25">
      <c r="A433" s="22"/>
      <c r="B433" s="10"/>
      <c r="C433" s="10"/>
      <c r="D433" s="58"/>
      <c r="E433" s="10"/>
      <c r="F433" s="10"/>
      <c r="G433" s="56"/>
      <c r="H433" s="56"/>
      <c r="I433" s="22"/>
      <c r="J433" s="22"/>
      <c r="K433" s="22"/>
      <c r="L433" s="22"/>
      <c r="M433" s="22"/>
      <c r="N433" s="22"/>
      <c r="O433" s="22"/>
      <c r="P433" s="10"/>
      <c r="Q433" s="10"/>
      <c r="R433" s="10"/>
      <c r="S433" s="10"/>
    </row>
    <row r="434" spans="1:19" x14ac:dyDescent="0.25">
      <c r="A434" s="22"/>
      <c r="B434" s="10"/>
      <c r="C434" s="10"/>
      <c r="D434" s="58"/>
      <c r="E434" s="10"/>
      <c r="F434" s="10"/>
      <c r="G434" s="56"/>
      <c r="H434" s="56"/>
      <c r="I434" s="22"/>
      <c r="J434" s="22"/>
      <c r="K434" s="22"/>
      <c r="L434" s="22"/>
      <c r="M434" s="22"/>
      <c r="N434" s="22"/>
      <c r="O434" s="22"/>
      <c r="P434" s="10"/>
      <c r="Q434" s="10"/>
      <c r="R434" s="10"/>
      <c r="S434" s="10"/>
    </row>
    <row r="435" spans="1:19" x14ac:dyDescent="0.25">
      <c r="A435" s="22"/>
      <c r="B435" s="10"/>
      <c r="C435" s="10"/>
      <c r="D435" s="58"/>
      <c r="E435" s="10"/>
      <c r="F435" s="10"/>
      <c r="G435" s="56"/>
      <c r="H435" s="56"/>
      <c r="I435" s="22"/>
      <c r="J435" s="22"/>
      <c r="K435" s="22"/>
      <c r="L435" s="22"/>
      <c r="M435" s="22"/>
      <c r="N435" s="22"/>
      <c r="O435" s="22"/>
      <c r="P435" s="10"/>
      <c r="Q435" s="10"/>
      <c r="R435" s="10"/>
      <c r="S435" s="10"/>
    </row>
    <row r="436" spans="1:19" x14ac:dyDescent="0.25">
      <c r="A436" s="22"/>
      <c r="B436" s="10"/>
      <c r="C436" s="10"/>
      <c r="D436" s="58"/>
      <c r="E436" s="10"/>
      <c r="F436" s="10"/>
      <c r="G436" s="56"/>
      <c r="H436" s="56"/>
      <c r="I436" s="22"/>
      <c r="J436" s="22"/>
      <c r="K436" s="22"/>
      <c r="L436" s="22"/>
      <c r="M436" s="22"/>
      <c r="N436" s="22"/>
      <c r="O436" s="22"/>
      <c r="P436" s="10"/>
      <c r="Q436" s="10"/>
      <c r="R436" s="10"/>
      <c r="S436" s="10"/>
    </row>
    <row r="437" spans="1:19" x14ac:dyDescent="0.25">
      <c r="A437" s="22"/>
      <c r="B437" s="10"/>
      <c r="C437" s="10"/>
      <c r="D437" s="58"/>
      <c r="E437" s="10"/>
      <c r="F437" s="10"/>
      <c r="G437" s="56"/>
      <c r="H437" s="56"/>
      <c r="I437" s="22"/>
      <c r="J437" s="22"/>
      <c r="K437" s="22"/>
      <c r="L437" s="22"/>
      <c r="M437" s="22"/>
      <c r="N437" s="22"/>
      <c r="O437" s="22"/>
      <c r="P437" s="10"/>
      <c r="Q437" s="10"/>
      <c r="R437" s="10"/>
      <c r="S437" s="10"/>
    </row>
    <row r="438" spans="1:19" x14ac:dyDescent="0.25">
      <c r="A438" s="22"/>
      <c r="B438" s="10"/>
      <c r="C438" s="10"/>
      <c r="D438" s="58"/>
      <c r="E438" s="10"/>
      <c r="F438" s="10"/>
      <c r="G438" s="56"/>
      <c r="H438" s="56"/>
      <c r="I438" s="22"/>
      <c r="J438" s="22"/>
      <c r="K438" s="22"/>
      <c r="L438" s="22"/>
      <c r="M438" s="22"/>
      <c r="N438" s="22"/>
      <c r="O438" s="22"/>
      <c r="P438" s="10"/>
      <c r="Q438" s="10"/>
      <c r="R438" s="10"/>
      <c r="S438" s="10"/>
    </row>
    <row r="439" spans="1:19" x14ac:dyDescent="0.25">
      <c r="A439" s="22"/>
      <c r="B439" s="10"/>
      <c r="C439" s="10"/>
      <c r="D439" s="58"/>
      <c r="E439" s="10"/>
      <c r="F439" s="10"/>
      <c r="G439" s="56"/>
      <c r="H439" s="56"/>
      <c r="I439" s="22"/>
      <c r="J439" s="22"/>
      <c r="K439" s="22"/>
      <c r="L439" s="22"/>
      <c r="M439" s="22"/>
      <c r="N439" s="22"/>
      <c r="O439" s="22"/>
      <c r="P439" s="10"/>
      <c r="Q439" s="10"/>
      <c r="R439" s="10"/>
      <c r="S439" s="10"/>
    </row>
    <row r="440" spans="1:19" x14ac:dyDescent="0.25">
      <c r="A440" s="22"/>
      <c r="B440" s="10"/>
      <c r="C440" s="10"/>
      <c r="D440" s="58"/>
      <c r="E440" s="10"/>
      <c r="F440" s="10"/>
      <c r="G440" s="56"/>
      <c r="H440" s="56"/>
      <c r="I440" s="22"/>
      <c r="J440" s="22"/>
      <c r="K440" s="22"/>
      <c r="L440" s="22"/>
      <c r="M440" s="22"/>
      <c r="N440" s="22"/>
      <c r="O440" s="22"/>
      <c r="P440" s="10"/>
      <c r="Q440" s="10"/>
      <c r="R440" s="10"/>
      <c r="S440" s="10"/>
    </row>
    <row r="441" spans="1:19" x14ac:dyDescent="0.25">
      <c r="A441" s="22"/>
      <c r="B441" s="10"/>
      <c r="C441" s="10"/>
      <c r="D441" s="58"/>
      <c r="E441" s="10"/>
      <c r="F441" s="10"/>
      <c r="G441" s="56"/>
      <c r="H441" s="56"/>
      <c r="I441" s="22"/>
      <c r="J441" s="22"/>
      <c r="K441" s="22"/>
      <c r="L441" s="22"/>
      <c r="M441" s="22"/>
      <c r="N441" s="22"/>
      <c r="O441" s="22"/>
      <c r="P441" s="10"/>
      <c r="Q441" s="10"/>
      <c r="R441" s="10"/>
      <c r="S441" s="10"/>
    </row>
    <row r="442" spans="1:19" x14ac:dyDescent="0.25">
      <c r="A442" s="22"/>
      <c r="B442" s="10"/>
      <c r="C442" s="10"/>
      <c r="D442" s="58"/>
      <c r="E442" s="10"/>
      <c r="F442" s="10"/>
      <c r="G442" s="56">
        <f>(5.01*(B442^0.59)*$Z$45)/(86.4*I$22)</f>
        <v>0</v>
      </c>
      <c r="H442" s="56"/>
      <c r="I442" s="22"/>
      <c r="J442" s="22"/>
      <c r="K442" s="22"/>
      <c r="L442" s="22"/>
      <c r="M442" s="22"/>
      <c r="N442" s="22"/>
      <c r="O442" s="22"/>
      <c r="P442" s="10"/>
      <c r="Q442" s="10"/>
      <c r="R442" s="10"/>
      <c r="S442" s="10"/>
    </row>
    <row r="443" spans="1:19" x14ac:dyDescent="0.25">
      <c r="A443" s="22"/>
      <c r="B443" s="10"/>
      <c r="C443" s="10"/>
      <c r="D443" s="58"/>
      <c r="E443" s="10"/>
      <c r="F443" s="10"/>
      <c r="G443" s="58"/>
      <c r="H443" s="58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</row>
    <row r="444" spans="1:19" x14ac:dyDescent="0.25">
      <c r="A444" s="22"/>
      <c r="B444" s="10"/>
      <c r="C444" s="10"/>
      <c r="D444" s="58"/>
      <c r="E444" s="10"/>
      <c r="F444" s="10"/>
      <c r="G444" s="58"/>
      <c r="H444" s="58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</row>
    <row r="445" spans="1:19" x14ac:dyDescent="0.25">
      <c r="A445" s="22"/>
      <c r="B445" s="10"/>
      <c r="C445" s="10"/>
      <c r="D445" s="58"/>
      <c r="E445" s="10"/>
      <c r="F445" s="10"/>
      <c r="G445" s="58"/>
      <c r="H445" s="58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</row>
    <row r="446" spans="1:19" x14ac:dyDescent="0.25">
      <c r="A446" s="22"/>
      <c r="B446" s="10"/>
      <c r="C446" s="10"/>
      <c r="D446" s="58"/>
      <c r="E446" s="10"/>
      <c r="F446" s="10"/>
      <c r="G446" s="58"/>
      <c r="H446" s="58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</row>
    <row r="447" spans="1:19" x14ac:dyDescent="0.25">
      <c r="A447" s="22"/>
      <c r="B447" s="10"/>
      <c r="C447" s="10"/>
      <c r="D447" s="58"/>
      <c r="E447" s="10"/>
      <c r="F447" s="10"/>
      <c r="G447" s="58"/>
      <c r="H447" s="58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</row>
    <row r="448" spans="1:19" x14ac:dyDescent="0.25">
      <c r="A448" s="22"/>
      <c r="B448" s="10"/>
      <c r="C448" s="10"/>
      <c r="D448" s="58"/>
      <c r="E448" s="10"/>
      <c r="F448" s="10"/>
      <c r="G448" s="58"/>
      <c r="H448" s="58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</row>
    <row r="449" spans="1:19" x14ac:dyDescent="0.25">
      <c r="A449" s="22"/>
      <c r="B449" s="10"/>
      <c r="C449" s="10"/>
      <c r="D449" s="58"/>
      <c r="E449" s="10"/>
      <c r="F449" s="10"/>
      <c r="G449" s="58"/>
      <c r="H449" s="58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</row>
    <row r="450" spans="1:19" x14ac:dyDescent="0.25">
      <c r="A450" s="22"/>
      <c r="B450" s="10"/>
      <c r="C450" s="10"/>
      <c r="D450" s="58"/>
      <c r="E450" s="10"/>
      <c r="F450" s="10"/>
      <c r="G450" s="58"/>
      <c r="H450" s="58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</row>
    <row r="451" spans="1:19" x14ac:dyDescent="0.25">
      <c r="A451" s="22"/>
      <c r="B451" s="10"/>
      <c r="C451" s="10"/>
      <c r="D451" s="58"/>
      <c r="E451" s="10"/>
      <c r="F451" s="10"/>
      <c r="G451" s="58"/>
      <c r="H451" s="58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</row>
    <row r="452" spans="1:19" x14ac:dyDescent="0.25">
      <c r="A452" s="22"/>
      <c r="B452" s="10"/>
      <c r="C452" s="10"/>
      <c r="D452" s="58"/>
      <c r="E452" s="10"/>
      <c r="F452" s="10"/>
      <c r="G452" s="58"/>
      <c r="H452" s="58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</row>
    <row r="453" spans="1:19" x14ac:dyDescent="0.25">
      <c r="A453" s="22"/>
      <c r="B453" s="10"/>
      <c r="C453" s="10"/>
      <c r="D453" s="58"/>
      <c r="E453" s="10"/>
      <c r="F453" s="10"/>
      <c r="G453" s="58"/>
      <c r="H453" s="58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</row>
    <row r="454" spans="1:19" x14ac:dyDescent="0.25">
      <c r="A454" s="22"/>
      <c r="B454" s="10"/>
      <c r="C454" s="10"/>
      <c r="D454" s="58"/>
      <c r="E454" s="10"/>
      <c r="F454" s="10"/>
      <c r="G454" s="58"/>
      <c r="H454" s="58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</row>
    <row r="455" spans="1:19" x14ac:dyDescent="0.25">
      <c r="A455" s="22"/>
      <c r="B455" s="10"/>
      <c r="C455" s="10"/>
      <c r="D455" s="58"/>
      <c r="E455" s="10"/>
      <c r="F455" s="10"/>
      <c r="G455" s="58"/>
      <c r="H455" s="58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</row>
    <row r="456" spans="1:19" x14ac:dyDescent="0.25">
      <c r="A456" s="22"/>
      <c r="B456" s="10"/>
      <c r="C456" s="10"/>
      <c r="D456" s="58"/>
      <c r="E456" s="10"/>
      <c r="F456" s="10"/>
      <c r="G456" s="58"/>
      <c r="H456" s="58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</row>
    <row r="457" spans="1:19" x14ac:dyDescent="0.25">
      <c r="A457" s="22"/>
      <c r="B457" s="10"/>
      <c r="C457" s="10"/>
      <c r="D457" s="58"/>
      <c r="E457" s="10"/>
      <c r="F457" s="10"/>
      <c r="G457" s="58"/>
      <c r="H457" s="58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</row>
    <row r="458" spans="1:19" x14ac:dyDescent="0.25">
      <c r="A458" s="22"/>
      <c r="B458" s="10"/>
      <c r="C458" s="10"/>
      <c r="D458" s="58"/>
      <c r="E458" s="10"/>
      <c r="F458" s="10"/>
      <c r="G458" s="58"/>
      <c r="H458" s="58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</row>
    <row r="459" spans="1:19" x14ac:dyDescent="0.25">
      <c r="A459" s="22"/>
      <c r="B459" s="10"/>
      <c r="C459" s="10"/>
      <c r="D459" s="58"/>
      <c r="E459" s="10"/>
      <c r="F459" s="10"/>
      <c r="G459" s="58"/>
      <c r="H459" s="58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</row>
    <row r="460" spans="1:19" x14ac:dyDescent="0.25">
      <c r="A460" s="22"/>
      <c r="B460" s="10"/>
      <c r="C460" s="10"/>
      <c r="D460" s="58"/>
      <c r="E460" s="10"/>
      <c r="F460" s="10"/>
      <c r="G460" s="58"/>
      <c r="H460" s="58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</row>
    <row r="461" spans="1:19" x14ac:dyDescent="0.25">
      <c r="A461" s="22"/>
      <c r="B461" s="10"/>
      <c r="C461" s="10"/>
      <c r="D461" s="58"/>
      <c r="E461" s="10"/>
      <c r="F461" s="10"/>
      <c r="G461" s="58"/>
      <c r="H461" s="58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</row>
    <row r="462" spans="1:19" x14ac:dyDescent="0.25">
      <c r="A462" s="22"/>
      <c r="B462" s="10"/>
      <c r="C462" s="10"/>
      <c r="D462" s="58"/>
      <c r="E462" s="10"/>
      <c r="F462" s="10"/>
      <c r="G462" s="58"/>
      <c r="H462" s="58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</row>
    <row r="463" spans="1:19" x14ac:dyDescent="0.25">
      <c r="A463" s="22"/>
      <c r="B463" s="10"/>
      <c r="C463" s="10"/>
      <c r="D463" s="58"/>
      <c r="E463" s="10"/>
      <c r="F463" s="10"/>
      <c r="G463" s="58"/>
      <c r="H463" s="58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</row>
    <row r="464" spans="1:19" x14ac:dyDescent="0.25">
      <c r="A464" s="22"/>
      <c r="B464" s="10"/>
      <c r="C464" s="10"/>
      <c r="D464" s="58"/>
      <c r="E464" s="10"/>
      <c r="F464" s="10"/>
      <c r="G464" s="58"/>
      <c r="H464" s="58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</row>
    <row r="465" spans="1:1" x14ac:dyDescent="0.25">
      <c r="A465" s="8"/>
    </row>
    <row r="466" spans="1:1" x14ac:dyDescent="0.25">
      <c r="A466" s="8"/>
    </row>
    <row r="467" spans="1:1" x14ac:dyDescent="0.25">
      <c r="A467" s="8"/>
    </row>
    <row r="468" spans="1:1" x14ac:dyDescent="0.25">
      <c r="A468" s="8"/>
    </row>
  </sheetData>
  <mergeCells count="461">
    <mergeCell ref="O404:P404"/>
    <mergeCell ref="O27:P27"/>
    <mergeCell ref="Q27:R27"/>
    <mergeCell ref="Q28:R28"/>
    <mergeCell ref="Q29:R29"/>
    <mergeCell ref="Q30:R30"/>
    <mergeCell ref="Q31:R31"/>
    <mergeCell ref="Q32:R32"/>
    <mergeCell ref="Q33:R33"/>
    <mergeCell ref="Q34:R34"/>
    <mergeCell ref="Q35:R35"/>
    <mergeCell ref="Q36:R36"/>
    <mergeCell ref="Q37:R37"/>
    <mergeCell ref="Q38:R38"/>
    <mergeCell ref="Q39:R39"/>
    <mergeCell ref="O339:P339"/>
    <mergeCell ref="O352:P352"/>
    <mergeCell ref="O365:P365"/>
    <mergeCell ref="O378:P378"/>
    <mergeCell ref="O391:P391"/>
    <mergeCell ref="O274:P274"/>
    <mergeCell ref="O287:P287"/>
    <mergeCell ref="O300:P300"/>
    <mergeCell ref="O313:P313"/>
    <mergeCell ref="O326:P326"/>
    <mergeCell ref="O209:P209"/>
    <mergeCell ref="O222:P222"/>
    <mergeCell ref="O235:P235"/>
    <mergeCell ref="O248:P248"/>
    <mergeCell ref="O261:P261"/>
    <mergeCell ref="O144:P144"/>
    <mergeCell ref="O157:P157"/>
    <mergeCell ref="O170:P170"/>
    <mergeCell ref="O183:P183"/>
    <mergeCell ref="O196:P196"/>
    <mergeCell ref="O131:P131"/>
    <mergeCell ref="AC44:AD44"/>
    <mergeCell ref="AC45:AD45"/>
    <mergeCell ref="O53:P53"/>
    <mergeCell ref="O40:P40"/>
    <mergeCell ref="O66:P66"/>
    <mergeCell ref="AC46:AD46"/>
    <mergeCell ref="AC47:AD47"/>
    <mergeCell ref="AC48:AD48"/>
    <mergeCell ref="AC49:AD49"/>
    <mergeCell ref="AC50:AD50"/>
    <mergeCell ref="AC54:AD54"/>
    <mergeCell ref="AC55:AD55"/>
    <mergeCell ref="AC56:AD56"/>
    <mergeCell ref="AC51:AD51"/>
    <mergeCell ref="AC52:AD52"/>
    <mergeCell ref="AC53:AD53"/>
    <mergeCell ref="AC40:AD40"/>
    <mergeCell ref="AC41:AD41"/>
    <mergeCell ref="AC42:AD42"/>
    <mergeCell ref="Q62:R62"/>
    <mergeCell ref="Q63:R63"/>
    <mergeCell ref="Q64:R64"/>
    <mergeCell ref="Q65:R65"/>
    <mergeCell ref="Q66:R66"/>
    <mergeCell ref="O79:P79"/>
    <mergeCell ref="O92:P92"/>
    <mergeCell ref="O105:P105"/>
    <mergeCell ref="O118:P118"/>
    <mergeCell ref="AC57:AD57"/>
    <mergeCell ref="AC58:AD58"/>
    <mergeCell ref="AC59:AD59"/>
    <mergeCell ref="AC60:AD60"/>
    <mergeCell ref="AC61:AD61"/>
    <mergeCell ref="AC62:AD62"/>
    <mergeCell ref="AC63:AD63"/>
    <mergeCell ref="AC64:AD64"/>
    <mergeCell ref="AC65:AD65"/>
    <mergeCell ref="Q67:R67"/>
    <mergeCell ref="Q68:R68"/>
    <mergeCell ref="Q69:R69"/>
    <mergeCell ref="Q70:R70"/>
    <mergeCell ref="Q71:R71"/>
    <mergeCell ref="Q72:R72"/>
    <mergeCell ref="Q73:R73"/>
    <mergeCell ref="Q74:R74"/>
    <mergeCell ref="Q75:R75"/>
    <mergeCell ref="Q76:R76"/>
    <mergeCell ref="I1:K1"/>
    <mergeCell ref="S39:U39"/>
    <mergeCell ref="K12:L13"/>
    <mergeCell ref="C28:C39"/>
    <mergeCell ref="F9:G9"/>
    <mergeCell ref="A10:C10"/>
    <mergeCell ref="F10:G10"/>
    <mergeCell ref="A11:C11"/>
    <mergeCell ref="F24:G24"/>
    <mergeCell ref="F15:G15"/>
    <mergeCell ref="F11:G11"/>
    <mergeCell ref="F12:G12"/>
    <mergeCell ref="F13:G13"/>
    <mergeCell ref="F14:G14"/>
    <mergeCell ref="F18:G18"/>
    <mergeCell ref="F19:G19"/>
    <mergeCell ref="F20:G20"/>
    <mergeCell ref="F21:G21"/>
    <mergeCell ref="F22:G22"/>
    <mergeCell ref="F23:G23"/>
    <mergeCell ref="A12:C12"/>
    <mergeCell ref="M14:O14"/>
    <mergeCell ref="AC43:AD43"/>
    <mergeCell ref="M24:N24"/>
    <mergeCell ref="M23:N23"/>
    <mergeCell ref="Q40:R40"/>
    <mergeCell ref="Q41:R41"/>
    <mergeCell ref="Q42:R42"/>
    <mergeCell ref="Q43:R43"/>
    <mergeCell ref="C8:E8"/>
    <mergeCell ref="C16:E16"/>
    <mergeCell ref="A18:C18"/>
    <mergeCell ref="A19:C19"/>
    <mergeCell ref="A9:C9"/>
    <mergeCell ref="A20:C20"/>
    <mergeCell ref="A13:C13"/>
    <mergeCell ref="A14:C14"/>
    <mergeCell ref="A22:C22"/>
    <mergeCell ref="A23:C23"/>
    <mergeCell ref="A21:C21"/>
    <mergeCell ref="C41:C52"/>
    <mergeCell ref="E28:E39"/>
    <mergeCell ref="E41:E52"/>
    <mergeCell ref="F28:F39"/>
    <mergeCell ref="F41:F52"/>
    <mergeCell ref="M15:O15"/>
    <mergeCell ref="Q44:R44"/>
    <mergeCell ref="Q45:R45"/>
    <mergeCell ref="Q46:R46"/>
    <mergeCell ref="Q47:R47"/>
    <mergeCell ref="Q48:R48"/>
    <mergeCell ref="Q49:R49"/>
    <mergeCell ref="Q50:R50"/>
    <mergeCell ref="Q51:R51"/>
    <mergeCell ref="Q52:R52"/>
    <mergeCell ref="Q53:R53"/>
    <mergeCell ref="Q54:R54"/>
    <mergeCell ref="Q55:R55"/>
    <mergeCell ref="Q56:R56"/>
    <mergeCell ref="Q57:R57"/>
    <mergeCell ref="Q58:R58"/>
    <mergeCell ref="Q59:R59"/>
    <mergeCell ref="Q60:R60"/>
    <mergeCell ref="Q61:R61"/>
    <mergeCell ref="Q77:R77"/>
    <mergeCell ref="Q78:R78"/>
    <mergeCell ref="Q80:R80"/>
    <mergeCell ref="Q81:R81"/>
    <mergeCell ref="Q82:R82"/>
    <mergeCell ref="Q83:R83"/>
    <mergeCell ref="Q84:R84"/>
    <mergeCell ref="Q85:R85"/>
    <mergeCell ref="Q86:R86"/>
    <mergeCell ref="Q87:R87"/>
    <mergeCell ref="Q88:R88"/>
    <mergeCell ref="Q89:R89"/>
    <mergeCell ref="Q90:R90"/>
    <mergeCell ref="Q91:R91"/>
    <mergeCell ref="Q93:R93"/>
    <mergeCell ref="Q94:R94"/>
    <mergeCell ref="Q95:R95"/>
    <mergeCell ref="Q96:R96"/>
    <mergeCell ref="Q97:R97"/>
    <mergeCell ref="Q98:R98"/>
    <mergeCell ref="Q99:R99"/>
    <mergeCell ref="Q100:R100"/>
    <mergeCell ref="Q101:R101"/>
    <mergeCell ref="Q102:R102"/>
    <mergeCell ref="Q103:R103"/>
    <mergeCell ref="Q104:R104"/>
    <mergeCell ref="Q106:R106"/>
    <mergeCell ref="Q107:R107"/>
    <mergeCell ref="Q108:R108"/>
    <mergeCell ref="Q109:R109"/>
    <mergeCell ref="Q110:R110"/>
    <mergeCell ref="Q111:R111"/>
    <mergeCell ref="Q112:R112"/>
    <mergeCell ref="Q113:R113"/>
    <mergeCell ref="Q114:R114"/>
    <mergeCell ref="Q115:R115"/>
    <mergeCell ref="Q116:R116"/>
    <mergeCell ref="Q117:R117"/>
    <mergeCell ref="Q119:R119"/>
    <mergeCell ref="Q120:R120"/>
    <mergeCell ref="Q121:R121"/>
    <mergeCell ref="Q122:R122"/>
    <mergeCell ref="Q123:R123"/>
    <mergeCell ref="Q124:R124"/>
    <mergeCell ref="Q125:R125"/>
    <mergeCell ref="Q126:R126"/>
    <mergeCell ref="Q127:R127"/>
    <mergeCell ref="Q128:R128"/>
    <mergeCell ref="Q129:R129"/>
    <mergeCell ref="Q130:R130"/>
    <mergeCell ref="Q132:R132"/>
    <mergeCell ref="Q133:R133"/>
    <mergeCell ref="Q134:R134"/>
    <mergeCell ref="Q135:R135"/>
    <mergeCell ref="Q136:R136"/>
    <mergeCell ref="Q137:R137"/>
    <mergeCell ref="Q138:R138"/>
    <mergeCell ref="Q139:R139"/>
    <mergeCell ref="Q140:R140"/>
    <mergeCell ref="Q141:R141"/>
    <mergeCell ref="Q142:R142"/>
    <mergeCell ref="Q143:R143"/>
    <mergeCell ref="Q145:R145"/>
    <mergeCell ref="Q146:R146"/>
    <mergeCell ref="Q147:R147"/>
    <mergeCell ref="Q148:R148"/>
    <mergeCell ref="Q149:R149"/>
    <mergeCell ref="Q150:R150"/>
    <mergeCell ref="Q151:R151"/>
    <mergeCell ref="Q152:R152"/>
    <mergeCell ref="Q153:R153"/>
    <mergeCell ref="Q154:R154"/>
    <mergeCell ref="Q155:R155"/>
    <mergeCell ref="Q156:R156"/>
    <mergeCell ref="Q158:R158"/>
    <mergeCell ref="Q159:R159"/>
    <mergeCell ref="Q160:R160"/>
    <mergeCell ref="Q161:R161"/>
    <mergeCell ref="Q162:R162"/>
    <mergeCell ref="Q163:R163"/>
    <mergeCell ref="Q164:R164"/>
    <mergeCell ref="Q165:R165"/>
    <mergeCell ref="Q166:R166"/>
    <mergeCell ref="Q167:R167"/>
    <mergeCell ref="Q168:R168"/>
    <mergeCell ref="Q169:R169"/>
    <mergeCell ref="Q171:R171"/>
    <mergeCell ref="Q172:R172"/>
    <mergeCell ref="Q173:R173"/>
    <mergeCell ref="Q174:R174"/>
    <mergeCell ref="Q175:R175"/>
    <mergeCell ref="Q176:R176"/>
    <mergeCell ref="Q177:R177"/>
    <mergeCell ref="Q178:R178"/>
    <mergeCell ref="Q179:R179"/>
    <mergeCell ref="Q180:R180"/>
    <mergeCell ref="Q181:R181"/>
    <mergeCell ref="Q182:R182"/>
    <mergeCell ref="Q184:R184"/>
    <mergeCell ref="Q185:R185"/>
    <mergeCell ref="Q186:R186"/>
    <mergeCell ref="Q187:R187"/>
    <mergeCell ref="Q188:R188"/>
    <mergeCell ref="Q189:R189"/>
    <mergeCell ref="Q190:R190"/>
    <mergeCell ref="Q191:R191"/>
    <mergeCell ref="Q192:R192"/>
    <mergeCell ref="Q193:R193"/>
    <mergeCell ref="Q194:R194"/>
    <mergeCell ref="Q195:R195"/>
    <mergeCell ref="Q197:R197"/>
    <mergeCell ref="Q198:R198"/>
    <mergeCell ref="Q199:R199"/>
    <mergeCell ref="Q200:R200"/>
    <mergeCell ref="Q201:R201"/>
    <mergeCell ref="Q202:R202"/>
    <mergeCell ref="Q203:R203"/>
    <mergeCell ref="Q204:R204"/>
    <mergeCell ref="Q205:R205"/>
    <mergeCell ref="Q206:R206"/>
    <mergeCell ref="Q207:R207"/>
    <mergeCell ref="Q208:R208"/>
    <mergeCell ref="Q210:R210"/>
    <mergeCell ref="Q211:R211"/>
    <mergeCell ref="Q212:R212"/>
    <mergeCell ref="Q213:R213"/>
    <mergeCell ref="Q214:R214"/>
    <mergeCell ref="Q215:R215"/>
    <mergeCell ref="Q216:R216"/>
    <mergeCell ref="Q217:R217"/>
    <mergeCell ref="Q218:R218"/>
    <mergeCell ref="Q219:R219"/>
    <mergeCell ref="Q220:R220"/>
    <mergeCell ref="Q221:R221"/>
    <mergeCell ref="Q223:R223"/>
    <mergeCell ref="Q224:R224"/>
    <mergeCell ref="Q225:R225"/>
    <mergeCell ref="Q226:R226"/>
    <mergeCell ref="Q227:R227"/>
    <mergeCell ref="Q228:R228"/>
    <mergeCell ref="Q229:R229"/>
    <mergeCell ref="Q230:R230"/>
    <mergeCell ref="Q231:R231"/>
    <mergeCell ref="Q232:R232"/>
    <mergeCell ref="Q233:R233"/>
    <mergeCell ref="Q234:R234"/>
    <mergeCell ref="Q236:R236"/>
    <mergeCell ref="Q237:R237"/>
    <mergeCell ref="Q238:R238"/>
    <mergeCell ref="Q239:R239"/>
    <mergeCell ref="Q240:R240"/>
    <mergeCell ref="Q241:R241"/>
    <mergeCell ref="Q242:R242"/>
    <mergeCell ref="Q243:R243"/>
    <mergeCell ref="Q244:R244"/>
    <mergeCell ref="Q245:R245"/>
    <mergeCell ref="Q246:R246"/>
    <mergeCell ref="Q247:R247"/>
    <mergeCell ref="Q249:R249"/>
    <mergeCell ref="Q250:R250"/>
    <mergeCell ref="Q251:R251"/>
    <mergeCell ref="Q252:R252"/>
    <mergeCell ref="Q253:R253"/>
    <mergeCell ref="Q254:R254"/>
    <mergeCell ref="Q255:R255"/>
    <mergeCell ref="Q256:R256"/>
    <mergeCell ref="Q257:R257"/>
    <mergeCell ref="Q258:R258"/>
    <mergeCell ref="Q259:R259"/>
    <mergeCell ref="Q260:R260"/>
    <mergeCell ref="Q262:R262"/>
    <mergeCell ref="Q263:R263"/>
    <mergeCell ref="Q264:R264"/>
    <mergeCell ref="Q265:R265"/>
    <mergeCell ref="Q266:R266"/>
    <mergeCell ref="Q267:R267"/>
    <mergeCell ref="Q268:R268"/>
    <mergeCell ref="Q269:R269"/>
    <mergeCell ref="Q270:R270"/>
    <mergeCell ref="Q271:R271"/>
    <mergeCell ref="Q272:R272"/>
    <mergeCell ref="Q273:R273"/>
    <mergeCell ref="Q275:R275"/>
    <mergeCell ref="Q276:R276"/>
    <mergeCell ref="Q277:R277"/>
    <mergeCell ref="Q278:R278"/>
    <mergeCell ref="Q279:R279"/>
    <mergeCell ref="Q280:R280"/>
    <mergeCell ref="Q281:R281"/>
    <mergeCell ref="Q282:R282"/>
    <mergeCell ref="Q283:R283"/>
    <mergeCell ref="Q284:R284"/>
    <mergeCell ref="Q285:R285"/>
    <mergeCell ref="Q286:R286"/>
    <mergeCell ref="Q288:R288"/>
    <mergeCell ref="Q289:R289"/>
    <mergeCell ref="Q290:R290"/>
    <mergeCell ref="Q291:R291"/>
    <mergeCell ref="Q292:R292"/>
    <mergeCell ref="Q293:R293"/>
    <mergeCell ref="Q294:R294"/>
    <mergeCell ref="Q295:R295"/>
    <mergeCell ref="Q296:R296"/>
    <mergeCell ref="Q297:R297"/>
    <mergeCell ref="Q298:R298"/>
    <mergeCell ref="Q299:R299"/>
    <mergeCell ref="Q301:R301"/>
    <mergeCell ref="Q302:R302"/>
    <mergeCell ref="Q303:R303"/>
    <mergeCell ref="Q304:R304"/>
    <mergeCell ref="Q305:R305"/>
    <mergeCell ref="Q306:R306"/>
    <mergeCell ref="Q307:R307"/>
    <mergeCell ref="Q308:R308"/>
    <mergeCell ref="Q309:R309"/>
    <mergeCell ref="Q310:R310"/>
    <mergeCell ref="Q311:R311"/>
    <mergeCell ref="Q312:R312"/>
    <mergeCell ref="Q314:R314"/>
    <mergeCell ref="Q315:R315"/>
    <mergeCell ref="Q316:R316"/>
    <mergeCell ref="Q317:R317"/>
    <mergeCell ref="Q318:R318"/>
    <mergeCell ref="Q319:R319"/>
    <mergeCell ref="Q320:R320"/>
    <mergeCell ref="Q321:R321"/>
    <mergeCell ref="Q322:R322"/>
    <mergeCell ref="Q323:R323"/>
    <mergeCell ref="Q324:R324"/>
    <mergeCell ref="Q325:R325"/>
    <mergeCell ref="Q327:R327"/>
    <mergeCell ref="Q328:R328"/>
    <mergeCell ref="Q329:R329"/>
    <mergeCell ref="Q330:R330"/>
    <mergeCell ref="Q331:R331"/>
    <mergeCell ref="Q332:R332"/>
    <mergeCell ref="Q333:R333"/>
    <mergeCell ref="Q334:R334"/>
    <mergeCell ref="Q335:R335"/>
    <mergeCell ref="Q336:R336"/>
    <mergeCell ref="Q337:R337"/>
    <mergeCell ref="Q338:R338"/>
    <mergeCell ref="Q340:R340"/>
    <mergeCell ref="Q341:R341"/>
    <mergeCell ref="Q342:R342"/>
    <mergeCell ref="Q343:R343"/>
    <mergeCell ref="Q344:R344"/>
    <mergeCell ref="Q345:R345"/>
    <mergeCell ref="Q346:R346"/>
    <mergeCell ref="Q347:R347"/>
    <mergeCell ref="Q348:R348"/>
    <mergeCell ref="Q349:R349"/>
    <mergeCell ref="Q350:R350"/>
    <mergeCell ref="Q351:R351"/>
    <mergeCell ref="Q353:R353"/>
    <mergeCell ref="Q354:R354"/>
    <mergeCell ref="Q355:R355"/>
    <mergeCell ref="Q356:R356"/>
    <mergeCell ref="Q357:R357"/>
    <mergeCell ref="Q358:R358"/>
    <mergeCell ref="Q359:R359"/>
    <mergeCell ref="Q360:R360"/>
    <mergeCell ref="Q361:R361"/>
    <mergeCell ref="Q362:R362"/>
    <mergeCell ref="Q363:R363"/>
    <mergeCell ref="Q364:R364"/>
    <mergeCell ref="Q366:R366"/>
    <mergeCell ref="Q367:R367"/>
    <mergeCell ref="Q368:R368"/>
    <mergeCell ref="Q385:R385"/>
    <mergeCell ref="Q386:R386"/>
    <mergeCell ref="Q387:R387"/>
    <mergeCell ref="Q369:R369"/>
    <mergeCell ref="Q370:R370"/>
    <mergeCell ref="Q371:R371"/>
    <mergeCell ref="Q372:R372"/>
    <mergeCell ref="Q373:R373"/>
    <mergeCell ref="Q374:R374"/>
    <mergeCell ref="Q375:R375"/>
    <mergeCell ref="Q376:R376"/>
    <mergeCell ref="Q377:R377"/>
    <mergeCell ref="Q379:R379"/>
    <mergeCell ref="Q380:R380"/>
    <mergeCell ref="Q381:R381"/>
    <mergeCell ref="Q382:R382"/>
    <mergeCell ref="Q383:R383"/>
    <mergeCell ref="Q384:R384"/>
    <mergeCell ref="Q410:R410"/>
    <mergeCell ref="Q411:R411"/>
    <mergeCell ref="Q412:R412"/>
    <mergeCell ref="Q413:R413"/>
    <mergeCell ref="Q414:R414"/>
    <mergeCell ref="Q415:R415"/>
    <mergeCell ref="Q416:R416"/>
    <mergeCell ref="Q398:R398"/>
    <mergeCell ref="Q399:R399"/>
    <mergeCell ref="Q400:R400"/>
    <mergeCell ref="Q401:R401"/>
    <mergeCell ref="Q402:R402"/>
    <mergeCell ref="Q403:R403"/>
    <mergeCell ref="Q405:R405"/>
    <mergeCell ref="Q406:R406"/>
    <mergeCell ref="Q407:R407"/>
    <mergeCell ref="Q408:R408"/>
    <mergeCell ref="Q409:R409"/>
    <mergeCell ref="Q388:R388"/>
    <mergeCell ref="Q389:R389"/>
    <mergeCell ref="Q390:R390"/>
    <mergeCell ref="Q392:R392"/>
    <mergeCell ref="Q393:R393"/>
    <mergeCell ref="Q394:R394"/>
    <mergeCell ref="Q395:R395"/>
    <mergeCell ref="Q396:R396"/>
    <mergeCell ref="Q397:R39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2:AA463"/>
  <sheetViews>
    <sheetView topLeftCell="L88" zoomScale="80" zoomScaleNormal="80" workbookViewId="0">
      <selection activeCell="J80" sqref="J80"/>
    </sheetView>
  </sheetViews>
  <sheetFormatPr baseColWidth="10" defaultRowHeight="15" x14ac:dyDescent="0.25"/>
  <cols>
    <col min="1" max="1" width="13" customWidth="1"/>
    <col min="2" max="2" width="13.140625" customWidth="1"/>
    <col min="3" max="3" width="13.85546875" customWidth="1"/>
    <col min="4" max="4" width="15" customWidth="1"/>
    <col min="5" max="5" width="19.7109375" customWidth="1"/>
    <col min="6" max="6" width="17.42578125" customWidth="1"/>
    <col min="7" max="7" width="13.85546875" customWidth="1"/>
    <col min="8" max="8" width="21.140625" customWidth="1"/>
    <col min="9" max="9" width="20" customWidth="1"/>
    <col min="10" max="10" width="14" customWidth="1"/>
    <col min="11" max="11" width="14.85546875" bestFit="1" customWidth="1"/>
    <col min="12" max="12" width="13" customWidth="1"/>
    <col min="15" max="15" width="18.85546875" customWidth="1"/>
    <col min="16" max="16" width="20.28515625" customWidth="1"/>
    <col min="17" max="17" width="13.85546875" customWidth="1"/>
    <col min="18" max="18" width="15.5703125" customWidth="1"/>
    <col min="19" max="19" width="12.85546875" customWidth="1"/>
    <col min="20" max="20" width="12.42578125" customWidth="1"/>
  </cols>
  <sheetData>
    <row r="2" spans="1:21" x14ac:dyDescent="0.25">
      <c r="F2" s="90" t="s">
        <v>49</v>
      </c>
      <c r="G2" s="90"/>
      <c r="H2" s="36"/>
      <c r="I2" s="5"/>
      <c r="J2" s="5"/>
    </row>
    <row r="3" spans="1:21" x14ac:dyDescent="0.25">
      <c r="G3" s="5"/>
      <c r="H3" s="5"/>
      <c r="I3" s="5"/>
      <c r="J3" s="5"/>
    </row>
    <row r="4" spans="1:21" x14ac:dyDescent="0.25">
      <c r="F4" s="5"/>
      <c r="G4" s="5"/>
      <c r="H4" s="5"/>
      <c r="I4" s="5"/>
      <c r="J4" s="5"/>
    </row>
    <row r="5" spans="1:21" x14ac:dyDescent="0.25">
      <c r="F5" s="5"/>
      <c r="G5" s="5"/>
      <c r="H5" s="5"/>
      <c r="I5" s="5"/>
      <c r="J5" s="5"/>
    </row>
    <row r="6" spans="1:21" x14ac:dyDescent="0.25">
      <c r="F6" s="5" t="s">
        <v>38</v>
      </c>
      <c r="G6" s="5"/>
      <c r="H6" s="5"/>
      <c r="I6" s="5"/>
      <c r="J6" s="5"/>
    </row>
    <row r="7" spans="1:21" x14ac:dyDescent="0.25">
      <c r="F7" s="5" t="s">
        <v>55</v>
      </c>
      <c r="G7" s="5"/>
      <c r="H7" s="5"/>
      <c r="I7" s="5"/>
      <c r="J7" s="5"/>
    </row>
    <row r="8" spans="1:21" x14ac:dyDescent="0.25">
      <c r="F8" s="5" t="s">
        <v>39</v>
      </c>
      <c r="G8" s="5"/>
      <c r="H8" s="5"/>
      <c r="I8" s="5"/>
      <c r="J8" s="5"/>
    </row>
    <row r="9" spans="1:21" x14ac:dyDescent="0.25">
      <c r="F9" s="5" t="s">
        <v>56</v>
      </c>
      <c r="G9" s="5"/>
      <c r="H9" s="5"/>
      <c r="I9" s="5"/>
      <c r="J9" s="5"/>
    </row>
    <row r="11" spans="1:21" x14ac:dyDescent="0.25">
      <c r="H11" s="40" t="s">
        <v>51</v>
      </c>
      <c r="I11" s="14" t="s">
        <v>52</v>
      </c>
    </row>
    <row r="12" spans="1:21" x14ac:dyDescent="0.25">
      <c r="C12" s="115" t="s">
        <v>25</v>
      </c>
      <c r="D12" s="116"/>
      <c r="E12" s="117"/>
      <c r="H12" s="22" t="s">
        <v>0</v>
      </c>
      <c r="I12" s="2">
        <v>31</v>
      </c>
      <c r="J12" s="2"/>
    </row>
    <row r="13" spans="1:21" x14ac:dyDescent="0.25">
      <c r="A13" s="107" t="s">
        <v>16</v>
      </c>
      <c r="B13" s="108"/>
      <c r="C13" s="109"/>
      <c r="D13" s="4" t="s">
        <v>17</v>
      </c>
      <c r="E13" s="4" t="s">
        <v>18</v>
      </c>
      <c r="F13" s="94" t="s">
        <v>19</v>
      </c>
      <c r="G13" s="94"/>
      <c r="H13" s="22" t="s">
        <v>1</v>
      </c>
      <c r="I13" s="2">
        <v>28</v>
      </c>
      <c r="J13" s="2">
        <v>29</v>
      </c>
      <c r="K13" s="97" t="s">
        <v>53</v>
      </c>
      <c r="L13" s="97"/>
      <c r="M13" s="97"/>
      <c r="N13" s="5"/>
      <c r="O13" s="5"/>
      <c r="P13" s="5"/>
      <c r="Q13" s="5"/>
      <c r="R13" s="5"/>
      <c r="S13" s="5"/>
      <c r="T13" s="5"/>
      <c r="U13" s="5"/>
    </row>
    <row r="14" spans="1:21" ht="15" customHeight="1" x14ac:dyDescent="0.25">
      <c r="A14" s="118" t="s">
        <v>20</v>
      </c>
      <c r="B14" s="119"/>
      <c r="C14" s="120"/>
      <c r="D14" s="18">
        <v>0.85192000000000001</v>
      </c>
      <c r="E14" s="3">
        <v>0.6</v>
      </c>
      <c r="F14" s="99">
        <v>0.51114999999999999</v>
      </c>
      <c r="G14" s="99"/>
      <c r="H14" s="22" t="s">
        <v>2</v>
      </c>
      <c r="I14" s="2">
        <v>31</v>
      </c>
      <c r="J14" s="2"/>
      <c r="K14" s="97"/>
      <c r="L14" s="97"/>
      <c r="M14" s="97"/>
      <c r="N14" s="5" t="s">
        <v>82</v>
      </c>
      <c r="O14" s="5"/>
      <c r="P14" s="5"/>
      <c r="Q14" s="5"/>
      <c r="R14" s="5"/>
      <c r="U14" s="5"/>
    </row>
    <row r="15" spans="1:21" x14ac:dyDescent="0.25">
      <c r="A15" s="107" t="s">
        <v>22</v>
      </c>
      <c r="B15" s="108"/>
      <c r="C15" s="109"/>
      <c r="D15" s="3">
        <v>7.5000000000000002E-4</v>
      </c>
      <c r="E15" s="3">
        <v>0.9</v>
      </c>
      <c r="F15" s="99">
        <v>6.8000000000000005E-4</v>
      </c>
      <c r="G15" s="99"/>
      <c r="H15" s="22" t="s">
        <v>3</v>
      </c>
      <c r="I15" s="2">
        <v>30</v>
      </c>
      <c r="J15" s="2"/>
      <c r="K15" s="5"/>
      <c r="L15" s="5"/>
      <c r="M15" s="5"/>
      <c r="N15" s="5" t="s">
        <v>83</v>
      </c>
      <c r="O15" s="5"/>
      <c r="P15" s="5"/>
      <c r="Q15" s="5"/>
      <c r="R15" s="5"/>
      <c r="S15" s="5"/>
      <c r="T15" s="5"/>
      <c r="U15" s="5"/>
    </row>
    <row r="16" spans="1:21" x14ac:dyDescent="0.25">
      <c r="A16" s="107" t="s">
        <v>23</v>
      </c>
      <c r="B16" s="108"/>
      <c r="C16" s="109"/>
      <c r="D16" s="3">
        <v>3.47E-3</v>
      </c>
      <c r="E16" s="3">
        <v>0.5</v>
      </c>
      <c r="F16" s="99">
        <v>1.74E-3</v>
      </c>
      <c r="G16" s="99"/>
      <c r="H16" s="22" t="s">
        <v>4</v>
      </c>
      <c r="I16" s="2">
        <v>31</v>
      </c>
      <c r="J16" s="2"/>
      <c r="K16" s="5"/>
      <c r="L16" s="5"/>
      <c r="M16" s="5"/>
      <c r="N16" s="5" t="s">
        <v>84</v>
      </c>
      <c r="O16" s="5"/>
      <c r="P16" s="5"/>
      <c r="Q16" s="5"/>
      <c r="R16" s="5"/>
      <c r="S16" s="5"/>
      <c r="T16" s="5"/>
      <c r="U16" s="5"/>
    </row>
    <row r="17" spans="1:26" x14ac:dyDescent="0.25">
      <c r="A17" s="107" t="s">
        <v>24</v>
      </c>
      <c r="B17" s="108"/>
      <c r="C17" s="109"/>
      <c r="D17" s="3">
        <v>0.14385999999999999</v>
      </c>
      <c r="E17" s="3">
        <v>0.4</v>
      </c>
      <c r="F17" s="99">
        <v>5.7540000000000001E-2</v>
      </c>
      <c r="G17" s="99"/>
      <c r="H17" s="22" t="s">
        <v>5</v>
      </c>
      <c r="I17" s="2">
        <v>30</v>
      </c>
      <c r="J17" s="2"/>
      <c r="K17" s="5"/>
      <c r="L17" s="5"/>
      <c r="M17" s="5"/>
      <c r="N17" s="5" t="s">
        <v>85</v>
      </c>
      <c r="O17" s="5"/>
      <c r="P17" s="5"/>
      <c r="Q17" s="5"/>
      <c r="R17" s="5"/>
      <c r="S17" s="5"/>
      <c r="T17" s="5"/>
      <c r="U17" s="5"/>
    </row>
    <row r="18" spans="1:26" x14ac:dyDescent="0.25">
      <c r="A18" s="6"/>
      <c r="B18" s="6"/>
      <c r="C18" s="6"/>
      <c r="D18" s="6"/>
      <c r="E18" s="6"/>
      <c r="F18" s="101">
        <f>SUM(F14:G17)</f>
        <v>0.57111000000000001</v>
      </c>
      <c r="G18" s="101"/>
      <c r="H18" s="22" t="s">
        <v>6</v>
      </c>
      <c r="I18" s="2">
        <v>31</v>
      </c>
      <c r="J18" s="2"/>
      <c r="K18" s="5"/>
      <c r="L18" s="5"/>
      <c r="M18" s="5"/>
      <c r="N18" s="5" t="s">
        <v>86</v>
      </c>
      <c r="O18" s="5"/>
      <c r="P18" s="5"/>
      <c r="Q18" s="5"/>
      <c r="R18" s="5"/>
      <c r="S18" s="5"/>
      <c r="T18" s="5"/>
      <c r="U18" s="5"/>
    </row>
    <row r="19" spans="1:26" x14ac:dyDescent="0.25">
      <c r="A19" s="5"/>
      <c r="B19" s="5"/>
      <c r="C19" s="110" t="s">
        <v>34</v>
      </c>
      <c r="D19" s="111"/>
      <c r="E19" s="112"/>
      <c r="F19" s="5"/>
      <c r="G19" s="5"/>
      <c r="H19" s="22" t="s">
        <v>7</v>
      </c>
      <c r="I19" s="2">
        <v>31</v>
      </c>
      <c r="J19" s="2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6" x14ac:dyDescent="0.25">
      <c r="A20" s="7" t="s">
        <v>26</v>
      </c>
      <c r="B20" s="7"/>
      <c r="C20" s="7"/>
      <c r="D20" s="7" t="s">
        <v>17</v>
      </c>
      <c r="E20" s="7" t="s">
        <v>27</v>
      </c>
      <c r="F20" s="7" t="s">
        <v>19</v>
      </c>
      <c r="G20" s="7"/>
      <c r="H20" s="22" t="s">
        <v>8</v>
      </c>
      <c r="I20" s="2">
        <v>30</v>
      </c>
      <c r="J20" s="2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6" x14ac:dyDescent="0.25">
      <c r="A21" s="107" t="s">
        <v>32</v>
      </c>
      <c r="B21" s="108"/>
      <c r="C21" s="109"/>
      <c r="D21" s="9">
        <v>1</v>
      </c>
      <c r="E21" s="9">
        <v>0.8</v>
      </c>
      <c r="F21" s="113">
        <v>0.8</v>
      </c>
      <c r="G21" s="114"/>
      <c r="H21" s="22" t="s">
        <v>9</v>
      </c>
      <c r="I21" s="2">
        <v>31</v>
      </c>
      <c r="J21" s="2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6" x14ac:dyDescent="0.25">
      <c r="A22" s="6"/>
      <c r="B22" s="6"/>
      <c r="C22" s="6"/>
      <c r="D22" s="13"/>
      <c r="E22" s="13"/>
      <c r="F22" s="100">
        <f>SUM(F21)</f>
        <v>0.8</v>
      </c>
      <c r="G22" s="100"/>
      <c r="H22" s="22" t="s">
        <v>10</v>
      </c>
      <c r="I22" s="2">
        <v>30</v>
      </c>
      <c r="J22" s="2"/>
      <c r="K22" s="5"/>
      <c r="L22" s="5"/>
      <c r="M22" s="5"/>
      <c r="N22" s="5"/>
      <c r="Q22" s="5"/>
      <c r="R22" s="5"/>
      <c r="S22" s="5"/>
      <c r="T22" s="5"/>
      <c r="U22" s="5"/>
    </row>
    <row r="23" spans="1:26" x14ac:dyDescent="0.25">
      <c r="A23" s="6"/>
      <c r="B23" s="6"/>
      <c r="C23" s="6"/>
      <c r="D23" s="13"/>
      <c r="E23" s="13"/>
      <c r="F23" s="6"/>
      <c r="G23" s="6"/>
      <c r="H23" s="22" t="s">
        <v>11</v>
      </c>
      <c r="I23" s="2">
        <v>31</v>
      </c>
      <c r="J23" s="2"/>
      <c r="K23" s="5"/>
      <c r="L23" s="5"/>
      <c r="M23" s="5"/>
      <c r="N23" s="5"/>
      <c r="Q23" s="5"/>
      <c r="R23" s="5"/>
      <c r="T23" s="14"/>
      <c r="U23" s="14"/>
      <c r="V23" s="5"/>
      <c r="W23" s="5"/>
      <c r="X23" s="5"/>
      <c r="Y23" s="5"/>
      <c r="Z23" s="5"/>
    </row>
    <row r="24" spans="1:26" ht="18.75" x14ac:dyDescent="0.3">
      <c r="A24" s="6"/>
      <c r="B24" s="6"/>
      <c r="C24" s="6"/>
      <c r="D24" s="13"/>
      <c r="E24" s="13"/>
      <c r="F24" s="6"/>
      <c r="G24" s="6"/>
      <c r="H24" s="37"/>
      <c r="I24" s="37"/>
      <c r="J24" s="37"/>
      <c r="K24" s="37"/>
      <c r="L24" s="91" t="s">
        <v>64</v>
      </c>
      <c r="M24" s="91"/>
      <c r="N24" s="55"/>
      <c r="O24" s="37"/>
      <c r="R24" s="5"/>
      <c r="S24" s="5"/>
      <c r="T24" s="5"/>
      <c r="U24" s="36"/>
      <c r="V24" s="5"/>
      <c r="W24" s="5"/>
      <c r="X24" s="5"/>
      <c r="Y24" s="5"/>
      <c r="Z24" s="5"/>
    </row>
    <row r="25" spans="1:26" ht="18.75" x14ac:dyDescent="0.3">
      <c r="A25" s="6"/>
      <c r="B25" s="6"/>
      <c r="C25" s="6"/>
      <c r="D25" s="13"/>
      <c r="E25" s="13"/>
      <c r="F25" s="6"/>
      <c r="G25" s="6"/>
      <c r="H25" s="44" t="s">
        <v>71</v>
      </c>
      <c r="J25" s="44"/>
      <c r="K25" s="44"/>
      <c r="L25" s="91" t="s">
        <v>65</v>
      </c>
      <c r="M25" s="91"/>
      <c r="N25" s="55"/>
      <c r="O25" s="20"/>
      <c r="R25" s="5"/>
      <c r="S25" s="5"/>
      <c r="T25" s="5"/>
      <c r="U25" s="36"/>
      <c r="V25" s="5"/>
      <c r="W25" s="5"/>
      <c r="X25" s="5"/>
      <c r="Y25" s="5"/>
      <c r="Z25" s="5"/>
    </row>
    <row r="26" spans="1:26" ht="18.75" x14ac:dyDescent="0.3">
      <c r="A26" s="6"/>
      <c r="B26" s="23" t="s">
        <v>54</v>
      </c>
      <c r="C26" s="19" t="s">
        <v>48</v>
      </c>
      <c r="D26" s="77" t="s">
        <v>88</v>
      </c>
      <c r="E26" s="78" t="s">
        <v>89</v>
      </c>
      <c r="F26" s="79" t="s">
        <v>90</v>
      </c>
      <c r="G26" s="43" t="s">
        <v>50</v>
      </c>
      <c r="H26" s="48" t="s">
        <v>87</v>
      </c>
      <c r="I26" s="49" t="s">
        <v>91</v>
      </c>
      <c r="J26" s="20"/>
      <c r="K26" s="20"/>
      <c r="L26" s="20"/>
      <c r="M26" s="35" t="s">
        <v>63</v>
      </c>
      <c r="N26" s="20"/>
      <c r="O26" t="s">
        <v>81</v>
      </c>
      <c r="R26" s="5"/>
      <c r="S26" s="5"/>
      <c r="T26" s="14"/>
      <c r="U26" s="5"/>
      <c r="V26" s="5"/>
      <c r="W26" s="5"/>
      <c r="X26" s="5"/>
      <c r="Y26" s="5"/>
    </row>
    <row r="27" spans="1:26" x14ac:dyDescent="0.25">
      <c r="A27" s="24" t="s">
        <v>12</v>
      </c>
      <c r="B27" s="29">
        <v>1980</v>
      </c>
      <c r="C27" s="29">
        <v>1980</v>
      </c>
      <c r="D27" s="29">
        <v>1980</v>
      </c>
      <c r="E27" s="29">
        <v>1980</v>
      </c>
      <c r="F27" s="29">
        <v>1980</v>
      </c>
      <c r="G27" s="29">
        <v>1980</v>
      </c>
      <c r="H27" s="29">
        <v>1980</v>
      </c>
      <c r="I27" s="29">
        <v>1980</v>
      </c>
      <c r="J27" s="47" t="s">
        <v>70</v>
      </c>
      <c r="K27" s="49" t="s">
        <v>61</v>
      </c>
      <c r="L27" s="49" t="s">
        <v>62</v>
      </c>
      <c r="M27" s="39" t="s">
        <v>60</v>
      </c>
      <c r="N27" s="39" t="s">
        <v>73</v>
      </c>
      <c r="O27" s="105" t="s">
        <v>57</v>
      </c>
      <c r="P27" s="105"/>
      <c r="Q27" s="90" t="s">
        <v>76</v>
      </c>
      <c r="R27" s="90"/>
      <c r="S27" s="14"/>
      <c r="T27" s="14"/>
      <c r="U27" s="5"/>
      <c r="V27" s="5"/>
      <c r="W27" s="5"/>
      <c r="X27" s="5"/>
      <c r="Y27" s="5"/>
    </row>
    <row r="28" spans="1:26" ht="15" customHeight="1" x14ac:dyDescent="0.25">
      <c r="A28" s="14" t="s">
        <v>0</v>
      </c>
      <c r="B28" s="30">
        <v>90.2</v>
      </c>
      <c r="C28" s="95" t="s">
        <v>80</v>
      </c>
      <c r="D28" s="34"/>
      <c r="E28" s="95" t="s">
        <v>80</v>
      </c>
      <c r="F28" s="95" t="s">
        <v>79</v>
      </c>
      <c r="G28" s="26">
        <f>(5.01*(B28^0.59)*Z$69)/(86.4*I$12)</f>
        <v>11.101951713578703</v>
      </c>
      <c r="H28" s="42">
        <f>L$30^(J28-(0.6458446*LN(P$34))-(9.53942*N28*(P$34/P$33))+(4.8904*N28))</f>
        <v>4.15261830370273</v>
      </c>
      <c r="I28" s="42">
        <f>L$30^(K$28-(0.6458446*LN(P$34))-(9.53942*N28*(P$34/P$33))+(4.8904*N28))</f>
        <v>3.0763353029195888</v>
      </c>
      <c r="J28" s="32">
        <v>0.3</v>
      </c>
      <c r="K28" s="22">
        <f>(10^-8)*((P35/P34)^-7.2474)</f>
        <v>6.4579488969536954E-14</v>
      </c>
      <c r="L28" s="22">
        <f>(-3.2951*(P34/P33))+5.33</f>
        <v>3.4847440000000001</v>
      </c>
      <c r="M28" s="22">
        <f t="shared" ref="M28:M39" si="0">(B28-(0.74*P$29))</f>
        <v>40.908016219058446</v>
      </c>
      <c r="N28" s="10">
        <f>M28/Q28</f>
        <v>0.32338352742338694</v>
      </c>
      <c r="O28" s="50" t="s">
        <v>58</v>
      </c>
      <c r="P28" s="36">
        <f>(B28+B29+B30+B31+B32+B33+B34+B35+B36+B37+B38+B39)/12</f>
        <v>52.208333333333336</v>
      </c>
      <c r="Q28" s="89">
        <v>126.5</v>
      </c>
      <c r="R28" s="89"/>
      <c r="S28" s="14"/>
      <c r="T28" s="14"/>
      <c r="U28" s="5"/>
      <c r="V28" s="5"/>
      <c r="W28" s="5"/>
      <c r="X28" s="5"/>
      <c r="Y28" s="5"/>
    </row>
    <row r="29" spans="1:26" x14ac:dyDescent="0.25">
      <c r="A29" s="14" t="s">
        <v>1</v>
      </c>
      <c r="B29" s="30">
        <v>108.1</v>
      </c>
      <c r="C29" s="95"/>
      <c r="D29" s="34"/>
      <c r="E29" s="95"/>
      <c r="F29" s="95"/>
      <c r="G29" s="26">
        <f>(5.01*(B29^0.59)*Z$69)/(86.4*J$13)</f>
        <v>13.205301833223086</v>
      </c>
      <c r="H29" s="42">
        <f>L$30^(J29-(0.6458446*LN(P$34))-(9.53942*N29*(P$34/P$33))+(4.8904*N29))</f>
        <v>29.607336866926072</v>
      </c>
      <c r="I29" s="42">
        <f>L$30^(K$28-(0.6458446*LN(P$34))-(9.53942*N29*(P$34/P$33))+(4.8904*N29))</f>
        <v>2.823626912432478</v>
      </c>
      <c r="J29" s="32">
        <v>2.35</v>
      </c>
      <c r="K29" s="22"/>
      <c r="L29" s="22"/>
      <c r="M29" s="22">
        <f t="shared" si="0"/>
        <v>58.808016219058437</v>
      </c>
      <c r="N29" s="10">
        <f t="shared" ref="N29:N39" si="1">M29/Q29</f>
        <v>0.51315895479108586</v>
      </c>
      <c r="O29" s="50" t="s">
        <v>66</v>
      </c>
      <c r="P29" s="22">
        <f>((((B28-P28)^2+(B29-P28)^2+(B30-P28)^2+(B31-P28)^2+(B32-P28)^2+(B33-P28)^2+(B34-P28)^2+(B35-P28)^2+(B36-P28)^2+(B37-P28)^2+(B38-P28)^2+(B39-P28)^2))/(12-1))^0.5</f>
        <v>66.610788893164269</v>
      </c>
      <c r="Q29" s="89">
        <v>114.6</v>
      </c>
      <c r="R29" s="89"/>
      <c r="S29" s="14"/>
      <c r="T29" s="14"/>
      <c r="U29" s="5"/>
      <c r="V29" s="5"/>
      <c r="W29" s="5"/>
      <c r="X29" s="5"/>
      <c r="Y29" s="5"/>
    </row>
    <row r="30" spans="1:26" x14ac:dyDescent="0.25">
      <c r="A30" s="14" t="s">
        <v>2</v>
      </c>
      <c r="B30" s="30">
        <v>154.5</v>
      </c>
      <c r="C30" s="95"/>
      <c r="D30" s="33">
        <v>13652</v>
      </c>
      <c r="E30" s="95"/>
      <c r="F30" s="95"/>
      <c r="G30" s="26">
        <f>(5.01*(B30^0.59)*Z$69)/(86.4*I$14)</f>
        <v>15.250893290787561</v>
      </c>
      <c r="H30" s="42">
        <f>L$30^(J30-(0.6458446*LN(P$34))-(9.53942*N30*(P$34/P$33))+(4.8904*N30))</f>
        <v>25.929655925904946</v>
      </c>
      <c r="I30" s="42">
        <f>L$30^(K$28-(0.6458446*LN(P$34))-(9.53942*N30*(P$34/P$33))+(4.8904*N30))</f>
        <v>2.4728895621911762</v>
      </c>
      <c r="J30" s="32">
        <v>2.35</v>
      </c>
      <c r="K30" s="22" t="s">
        <v>72</v>
      </c>
      <c r="L30" s="10">
        <f>EXP(1)</f>
        <v>2.7182818284590451</v>
      </c>
      <c r="M30" s="22">
        <f t="shared" si="0"/>
        <v>105.20801621905844</v>
      </c>
      <c r="N30" s="10">
        <f t="shared" si="1"/>
        <v>0.8068099403302027</v>
      </c>
      <c r="O30" s="22"/>
      <c r="P30" s="22"/>
      <c r="Q30" s="89">
        <v>130.4</v>
      </c>
      <c r="R30" s="89"/>
      <c r="S30" s="14"/>
      <c r="T30" s="14"/>
      <c r="U30" s="5"/>
      <c r="V30" s="5"/>
      <c r="W30" s="5"/>
      <c r="X30" s="5"/>
      <c r="Y30" s="5"/>
    </row>
    <row r="31" spans="1:26" x14ac:dyDescent="0.25">
      <c r="A31" s="14" t="s">
        <v>3</v>
      </c>
      <c r="B31" s="30">
        <v>181.5</v>
      </c>
      <c r="C31" s="95"/>
      <c r="D31" s="34">
        <v>15.85</v>
      </c>
      <c r="E31" s="95"/>
      <c r="F31" s="95"/>
      <c r="G31" s="26">
        <f>(5.01*(B31^0.59)*Z$69)/(86.4*I$15)</f>
        <v>17.330261957494798</v>
      </c>
      <c r="H31" s="42">
        <f>L$30^(J31-(0.6458446*LN(P$34))-(9.53942*N31*(P$34/P$33))+(4.8904*N31))</f>
        <v>23.412715959683979</v>
      </c>
      <c r="I31" s="42">
        <f>L$30^(K$28-(0.6458446*LN(P$34))-(9.53942*N31*(P$34/P$33))+(4.8904*N31))</f>
        <v>2.2328511062658345</v>
      </c>
      <c r="J31" s="32">
        <v>2.35</v>
      </c>
      <c r="K31" s="22"/>
      <c r="L31" s="22"/>
      <c r="M31" s="22">
        <f t="shared" si="0"/>
        <v>132.20801621905844</v>
      </c>
      <c r="N31" s="10">
        <f t="shared" si="1"/>
        <v>1.032875126711394</v>
      </c>
      <c r="O31" s="22"/>
      <c r="P31" s="22"/>
      <c r="Q31" s="89">
        <v>128</v>
      </c>
      <c r="R31" s="89"/>
      <c r="S31" s="14"/>
      <c r="T31" s="14"/>
      <c r="U31" s="5"/>
      <c r="V31" s="5"/>
      <c r="W31" s="5"/>
      <c r="X31" s="5"/>
      <c r="Y31" s="5"/>
    </row>
    <row r="32" spans="1:26" x14ac:dyDescent="0.25">
      <c r="A32" s="14" t="s">
        <v>4</v>
      </c>
      <c r="B32" s="30">
        <v>68</v>
      </c>
      <c r="C32" s="95"/>
      <c r="D32" s="33">
        <v>10312</v>
      </c>
      <c r="E32" s="95"/>
      <c r="F32" s="95"/>
      <c r="G32" s="26">
        <f>(5.01*(B32^0.59)*Z$69)/(86.4*I$16)</f>
        <v>9.3974004860895022</v>
      </c>
      <c r="H32" s="42">
        <f t="shared" ref="H32:H39" si="2">L$30^(J32-(0.6458446*LN(P$34))-(9.53942*N32*(P$34/P$33))+(4.8904*N32))</f>
        <v>34.86341869473361</v>
      </c>
      <c r="I32" s="42">
        <f t="shared" ref="I32:I39" si="3">L$30^(K$28-(0.6458446*LN(P$34))-(9.53942*N32*(P$34/P$33))+(4.8904*N32))</f>
        <v>3.3248950328868898</v>
      </c>
      <c r="J32" s="32">
        <v>2.35</v>
      </c>
      <c r="K32" s="22"/>
      <c r="L32" s="22"/>
      <c r="M32" s="22">
        <f t="shared" si="0"/>
        <v>18.708016219058443</v>
      </c>
      <c r="N32" s="10">
        <f t="shared" si="1"/>
        <v>0.15135935452312657</v>
      </c>
      <c r="O32" s="22"/>
      <c r="P32" s="22"/>
      <c r="Q32" s="89">
        <v>123.6</v>
      </c>
      <c r="R32" s="89"/>
      <c r="S32" s="14"/>
      <c r="T32" s="14"/>
      <c r="U32" s="5"/>
      <c r="V32" s="5"/>
      <c r="W32" s="5"/>
      <c r="X32" s="5"/>
      <c r="Y32" s="5"/>
    </row>
    <row r="33" spans="1:25" ht="17.25" customHeight="1" x14ac:dyDescent="0.25">
      <c r="A33" s="14" t="s">
        <v>5</v>
      </c>
      <c r="B33" s="30">
        <v>3.6</v>
      </c>
      <c r="C33" s="95"/>
      <c r="D33" s="33">
        <v>3067</v>
      </c>
      <c r="E33" s="95"/>
      <c r="F33" s="95"/>
      <c r="G33" s="26">
        <f>(5.01*(B33^0.59)*Z$69)/(86.4*I$17)</f>
        <v>1.7150879336851585</v>
      </c>
      <c r="H33" s="42">
        <f t="shared" si="2"/>
        <v>30.213162441145748</v>
      </c>
      <c r="I33" s="42">
        <f t="shared" si="3"/>
        <v>4.2985496360068112</v>
      </c>
      <c r="J33" s="32">
        <v>1.95</v>
      </c>
      <c r="K33" s="22"/>
      <c r="L33" s="22"/>
      <c r="M33" s="22">
        <f t="shared" si="0"/>
        <v>-45.691983780941555</v>
      </c>
      <c r="N33" s="10">
        <f t="shared" si="1"/>
        <v>-0.41727839069353018</v>
      </c>
      <c r="O33" s="51" t="s">
        <v>67</v>
      </c>
      <c r="P33" s="22">
        <v>0.25</v>
      </c>
      <c r="Q33" s="89">
        <v>109.5</v>
      </c>
      <c r="R33" s="89"/>
      <c r="S33" s="14"/>
      <c r="T33" s="14"/>
      <c r="U33" s="5"/>
      <c r="V33" s="5"/>
      <c r="W33" s="5"/>
      <c r="X33" s="5"/>
      <c r="Y33" s="5"/>
    </row>
    <row r="34" spans="1:25" ht="18" customHeight="1" x14ac:dyDescent="0.25">
      <c r="A34" s="14" t="s">
        <v>6</v>
      </c>
      <c r="B34" s="30">
        <v>0</v>
      </c>
      <c r="C34" s="95"/>
      <c r="D34" s="34">
        <v>0.68100000000000005</v>
      </c>
      <c r="E34" s="95"/>
      <c r="F34" s="95"/>
      <c r="G34" s="26">
        <f>(5.01*(B34^0.59)*Z$69)/(86.4*I$18)</f>
        <v>0</v>
      </c>
      <c r="H34" s="42">
        <f t="shared" si="2"/>
        <v>14.597294894606208</v>
      </c>
      <c r="I34" s="42">
        <f t="shared" si="3"/>
        <v>4.396620731831212</v>
      </c>
      <c r="J34" s="32">
        <v>1.2</v>
      </c>
      <c r="K34" s="22"/>
      <c r="L34" s="22"/>
      <c r="M34" s="22">
        <f t="shared" si="0"/>
        <v>-49.291983780941557</v>
      </c>
      <c r="N34" s="10">
        <f t="shared" si="1"/>
        <v>-0.46722259508001474</v>
      </c>
      <c r="O34" s="51" t="s">
        <v>68</v>
      </c>
      <c r="P34" s="22">
        <v>0.14000000000000001</v>
      </c>
      <c r="Q34" s="89">
        <v>105.5</v>
      </c>
      <c r="R34" s="89"/>
      <c r="S34" s="14"/>
      <c r="T34" s="14"/>
      <c r="U34" s="5"/>
      <c r="V34" s="5"/>
      <c r="W34" s="5"/>
      <c r="X34" s="5"/>
      <c r="Y34" s="5"/>
    </row>
    <row r="35" spans="1:25" ht="28.5" customHeight="1" x14ac:dyDescent="0.25">
      <c r="A35" s="14" t="s">
        <v>7</v>
      </c>
      <c r="B35" s="30">
        <v>1.1000000000000001</v>
      </c>
      <c r="C35" s="95"/>
      <c r="D35" s="34">
        <v>0.441</v>
      </c>
      <c r="E35" s="95"/>
      <c r="F35" s="95"/>
      <c r="G35" s="26">
        <f>(5.01*(B35^0.59)*Z$69)/(86.4*I$19)</f>
        <v>0.82461107093750996</v>
      </c>
      <c r="H35" s="42">
        <f t="shared" si="2"/>
        <v>7.6026785679597939</v>
      </c>
      <c r="I35" s="42">
        <f t="shared" si="3"/>
        <v>4.3863639581684781</v>
      </c>
      <c r="J35" s="32">
        <v>0.55000000000000004</v>
      </c>
      <c r="K35" s="22"/>
      <c r="L35" s="22"/>
      <c r="M35" s="22">
        <f t="shared" si="0"/>
        <v>-48.191983780941555</v>
      </c>
      <c r="N35" s="10">
        <f t="shared" si="1"/>
        <v>-0.46205161822571006</v>
      </c>
      <c r="O35" s="52" t="s">
        <v>69</v>
      </c>
      <c r="P35" s="22">
        <f>1-(EXP(1)*(0.5*P36))</f>
        <v>0.7281718171540954</v>
      </c>
      <c r="Q35" s="89">
        <v>104.3</v>
      </c>
      <c r="R35" s="89"/>
      <c r="S35" s="14"/>
      <c r="T35" s="14"/>
      <c r="U35" s="5"/>
      <c r="V35" s="5"/>
      <c r="W35" s="5"/>
      <c r="X35" s="5"/>
      <c r="Y35" s="5"/>
    </row>
    <row r="36" spans="1:25" x14ac:dyDescent="0.25">
      <c r="A36" s="14" t="s">
        <v>8</v>
      </c>
      <c r="B36" s="30">
        <v>0</v>
      </c>
      <c r="C36" s="95"/>
      <c r="D36" s="34">
        <v>0.26</v>
      </c>
      <c r="E36" s="95"/>
      <c r="F36" s="95"/>
      <c r="G36" s="26">
        <f>(5.01*(B36^0.59)*Z$69)/(86.4*I$20)</f>
        <v>0</v>
      </c>
      <c r="H36" s="42">
        <f t="shared" si="2"/>
        <v>7.6840964449858769</v>
      </c>
      <c r="I36" s="42">
        <f t="shared" si="3"/>
        <v>4.4333379868802592</v>
      </c>
      <c r="J36" s="32">
        <v>0.55000000000000004</v>
      </c>
      <c r="K36" s="22"/>
      <c r="L36" s="22"/>
      <c r="M36" s="22">
        <f t="shared" si="0"/>
        <v>-49.291983780941557</v>
      </c>
      <c r="N36" s="10">
        <f t="shared" si="1"/>
        <v>-0.48563530818661632</v>
      </c>
      <c r="O36" s="51" t="s">
        <v>74</v>
      </c>
      <c r="P36" s="22">
        <v>0.2</v>
      </c>
      <c r="Q36" s="89">
        <v>101.5</v>
      </c>
      <c r="R36" s="89"/>
      <c r="S36" s="14"/>
      <c r="T36" s="14"/>
      <c r="U36" s="5"/>
      <c r="V36" s="5"/>
      <c r="W36" s="5"/>
      <c r="X36" s="5"/>
      <c r="Y36" s="5"/>
    </row>
    <row r="37" spans="1:25" ht="18.75" x14ac:dyDescent="0.3">
      <c r="A37" s="14" t="s">
        <v>9</v>
      </c>
      <c r="B37" s="30">
        <v>0</v>
      </c>
      <c r="C37" s="95"/>
      <c r="D37" s="34">
        <v>3.7999999999999999E-2</v>
      </c>
      <c r="E37" s="95"/>
      <c r="F37" s="95"/>
      <c r="G37" s="26">
        <f>(5.01*(B37^0.59)*Z$69)/(86.4*I$21)</f>
        <v>0</v>
      </c>
      <c r="H37" s="42">
        <f t="shared" si="2"/>
        <v>14.512367550877631</v>
      </c>
      <c r="I37" s="42">
        <f t="shared" si="3"/>
        <v>4.3710411074670867</v>
      </c>
      <c r="J37" s="32">
        <v>1.2</v>
      </c>
      <c r="K37" s="22"/>
      <c r="L37" s="22"/>
      <c r="M37" s="22">
        <f t="shared" si="0"/>
        <v>-49.291983780941557</v>
      </c>
      <c r="N37" s="10">
        <f t="shared" si="1"/>
        <v>-0.45430399798102816</v>
      </c>
      <c r="O37" s="45" t="s">
        <v>75</v>
      </c>
      <c r="P37" s="10"/>
      <c r="Q37" s="89">
        <v>108.5</v>
      </c>
      <c r="R37" s="89"/>
      <c r="S37" s="14"/>
      <c r="T37" s="14"/>
      <c r="U37" s="5"/>
      <c r="V37" s="5"/>
      <c r="W37" s="5"/>
      <c r="X37" s="5"/>
      <c r="Y37" s="5"/>
    </row>
    <row r="38" spans="1:25" x14ac:dyDescent="0.25">
      <c r="A38" s="14" t="s">
        <v>10</v>
      </c>
      <c r="B38" s="30">
        <v>14.9</v>
      </c>
      <c r="C38" s="95"/>
      <c r="D38" s="33">
        <v>2189</v>
      </c>
      <c r="E38" s="95"/>
      <c r="F38" s="95"/>
      <c r="G38" s="26">
        <f>(5.01*(B38^0.59)*Z$69)/(86.4*I$22)</f>
        <v>3.9650422049581184</v>
      </c>
      <c r="H38" s="42">
        <f t="shared" si="2"/>
        <v>28.746035290214277</v>
      </c>
      <c r="I38" s="42">
        <f t="shared" si="3"/>
        <v>4.0898154827086568</v>
      </c>
      <c r="J38" s="32">
        <v>1.95</v>
      </c>
      <c r="K38" s="56"/>
      <c r="L38" s="56"/>
      <c r="M38" s="22">
        <f t="shared" si="0"/>
        <v>-34.391983780941558</v>
      </c>
      <c r="N38" s="10">
        <f t="shared" si="1"/>
        <v>-0.30707128375840675</v>
      </c>
      <c r="O38" s="10"/>
      <c r="P38" s="22"/>
      <c r="Q38" s="89">
        <v>112</v>
      </c>
      <c r="R38" s="89"/>
      <c r="S38" s="14"/>
      <c r="T38" s="14"/>
      <c r="U38" s="5"/>
      <c r="V38" s="5"/>
      <c r="W38" s="5"/>
      <c r="X38" s="5"/>
      <c r="Y38" s="5"/>
    </row>
    <row r="39" spans="1:25" x14ac:dyDescent="0.25">
      <c r="A39" s="14" t="s">
        <v>11</v>
      </c>
      <c r="B39" s="30">
        <v>4.5999999999999996</v>
      </c>
      <c r="C39" s="95"/>
      <c r="D39" s="33">
        <v>1581</v>
      </c>
      <c r="E39" s="95"/>
      <c r="F39" s="95"/>
      <c r="G39" s="26">
        <f>(5.01*(B39^0.59)*Z$69)/(86.4*I$23)</f>
        <v>1.9180264753810849</v>
      </c>
      <c r="H39" s="42">
        <f t="shared" si="2"/>
        <v>29.537847268741974</v>
      </c>
      <c r="I39" s="42">
        <f t="shared" si="3"/>
        <v>4.2024697968247722</v>
      </c>
      <c r="J39" s="32">
        <v>1.95</v>
      </c>
      <c r="K39" s="56"/>
      <c r="L39" s="56"/>
      <c r="M39" s="22">
        <f t="shared" si="0"/>
        <v>-44.691983780941555</v>
      </c>
      <c r="N39" s="10">
        <f t="shared" si="1"/>
        <v>-0.36723076237421159</v>
      </c>
      <c r="O39" s="22"/>
      <c r="P39" s="22"/>
      <c r="Q39" s="89">
        <v>121.7</v>
      </c>
      <c r="R39" s="89"/>
      <c r="S39" s="14"/>
      <c r="T39" s="14"/>
      <c r="U39" s="5"/>
      <c r="V39" s="5"/>
      <c r="W39" s="5"/>
      <c r="X39" s="5"/>
      <c r="Y39" s="5"/>
    </row>
    <row r="40" spans="1:25" x14ac:dyDescent="0.25">
      <c r="A40" s="24" t="s">
        <v>12</v>
      </c>
      <c r="B40" s="29">
        <v>1981</v>
      </c>
      <c r="C40" s="29">
        <v>1981</v>
      </c>
      <c r="D40" s="29">
        <v>1981</v>
      </c>
      <c r="E40" s="29">
        <v>1981</v>
      </c>
      <c r="F40" s="29">
        <v>1981</v>
      </c>
      <c r="G40" s="29">
        <v>1981</v>
      </c>
      <c r="H40" s="29">
        <v>1981</v>
      </c>
      <c r="I40" s="29">
        <v>1981</v>
      </c>
      <c r="J40" s="47" t="s">
        <v>70</v>
      </c>
      <c r="K40" s="27"/>
      <c r="L40" s="27"/>
      <c r="M40" s="39" t="s">
        <v>60</v>
      </c>
      <c r="N40" s="39" t="s">
        <v>73</v>
      </c>
      <c r="O40" s="105" t="s">
        <v>57</v>
      </c>
      <c r="P40" s="105"/>
      <c r="Q40" s="10"/>
      <c r="R40" s="14"/>
      <c r="S40" s="14"/>
      <c r="T40" s="14"/>
      <c r="U40" s="5"/>
      <c r="V40" s="5"/>
      <c r="W40" s="5"/>
      <c r="X40" s="5"/>
      <c r="Y40" s="5"/>
    </row>
    <row r="41" spans="1:25" ht="15" customHeight="1" x14ac:dyDescent="0.25">
      <c r="A41" s="14" t="s">
        <v>0</v>
      </c>
      <c r="B41" s="30">
        <v>78.3</v>
      </c>
      <c r="C41" s="95" t="s">
        <v>80</v>
      </c>
      <c r="D41" s="33">
        <v>7477</v>
      </c>
      <c r="E41" s="95" t="s">
        <v>80</v>
      </c>
      <c r="F41" s="95" t="s">
        <v>79</v>
      </c>
      <c r="G41" s="26">
        <f>(5.01*(B41^0.59)*Z$69)/(86.4*I$12)</f>
        <v>10.212849135860909</v>
      </c>
      <c r="H41" s="42">
        <f>L$30^(J41-(0.6458446*LN(P$34))-(9.53942*N41*(P$34/P$33))+(4.8904*N41))</f>
        <v>4.5406984849761409</v>
      </c>
      <c r="I41" s="42">
        <f>L$30^(K$28-(0.6458446*LN(P$34))-(9.53942*N41*(P$34/P$33))+(4.8904*N41))</f>
        <v>3.363832172292414</v>
      </c>
      <c r="J41" s="32">
        <v>0.3</v>
      </c>
      <c r="K41" s="56"/>
      <c r="L41" s="56"/>
      <c r="M41" s="22">
        <f>(B41-(0.74*P$42))</f>
        <v>15.886191554296502</v>
      </c>
      <c r="N41" s="10">
        <f>M41/Q41</f>
        <v>0.12558254193119764</v>
      </c>
      <c r="O41" s="50" t="s">
        <v>58</v>
      </c>
      <c r="P41" s="36">
        <f>(B41+B42+B43+B44+B45+B46+B47+B48+B49+B50+B51+B52)/12</f>
        <v>50.658333333333324</v>
      </c>
      <c r="Q41" s="89">
        <v>126.5</v>
      </c>
      <c r="R41" s="89"/>
      <c r="S41" s="14"/>
      <c r="T41" s="14"/>
      <c r="U41" s="5"/>
      <c r="V41" s="5"/>
      <c r="W41" s="5"/>
      <c r="X41" s="5"/>
      <c r="Y41" s="5"/>
    </row>
    <row r="42" spans="1:25" ht="15" customHeight="1" x14ac:dyDescent="0.25">
      <c r="A42" s="14" t="s">
        <v>1</v>
      </c>
      <c r="B42" s="30">
        <v>274.5</v>
      </c>
      <c r="C42" s="95"/>
      <c r="D42" s="33">
        <v>19283</v>
      </c>
      <c r="E42" s="95"/>
      <c r="F42" s="95"/>
      <c r="G42" s="26">
        <f>(5.01*(B42^0.59)*Z$69)/(86.4*J$13)</f>
        <v>22.883958877404652</v>
      </c>
      <c r="H42" s="42">
        <f>L$30^(J42-(0.6458446*LN(P$34))-(9.53942*N42*(P$34/P$33))+(4.8904*N42))</f>
        <v>16.182071891031555</v>
      </c>
      <c r="I42" s="42">
        <f>L$30^(K$28-(0.6458446*LN(P$34))-(9.53942*N42*(P$34/P$33))+(4.8904*N42))</f>
        <v>1.5432706391595734</v>
      </c>
      <c r="J42" s="32">
        <v>2.35</v>
      </c>
      <c r="K42" s="56"/>
      <c r="L42" s="56"/>
      <c r="M42" s="22">
        <f t="shared" ref="M42:M52" si="4">(B42-(0.74*P$42))</f>
        <v>212.08619155429651</v>
      </c>
      <c r="N42" s="10">
        <f t="shared" ref="N42:N52" si="5">M42/Q42</f>
        <v>1.8506648477687304</v>
      </c>
      <c r="O42" s="50" t="s">
        <v>66</v>
      </c>
      <c r="P42" s="22">
        <f>((((B41-P41)^2+(B42-P41)^2+(B43-P41)^2+(B44-P41)^2+(B45-P41)^2+(B46-P41)^2+(B47-P41)^2+(B48-P41)^2+(B49-P41)^2+(B50-P41)^2+(B51-P41)^2+(B52-P41)^2))/(12-1))^0.5</f>
        <v>84.342984386085803</v>
      </c>
      <c r="Q42" s="89">
        <v>114.6</v>
      </c>
      <c r="R42" s="89"/>
      <c r="T42" s="14"/>
      <c r="U42" s="5"/>
      <c r="V42" s="5"/>
      <c r="W42" s="5"/>
      <c r="X42" s="5"/>
      <c r="Y42" s="5"/>
    </row>
    <row r="43" spans="1:25" x14ac:dyDescent="0.25">
      <c r="A43" s="14" t="s">
        <v>2</v>
      </c>
      <c r="B43" s="30">
        <v>116.6</v>
      </c>
      <c r="C43" s="95"/>
      <c r="D43" s="33">
        <v>14359</v>
      </c>
      <c r="E43" s="95"/>
      <c r="F43" s="95"/>
      <c r="G43" s="26">
        <f>(5.01*(B43^0.59)*Z$69)/(86.4*I$14)</f>
        <v>12.917534249183769</v>
      </c>
      <c r="H43" s="42">
        <f>L$30^(J43-(0.6458446*LN(P$34))-(9.53942*N43*(P$34/P$33))+(4.8904*N43))</f>
        <v>30.942017073852423</v>
      </c>
      <c r="I43" s="42">
        <f>L$30^(K$28-(0.6458446*LN(P$34))-(9.53942*N43*(P$34/P$33))+(4.8904*N43))</f>
        <v>2.9509142455927289</v>
      </c>
      <c r="J43" s="32">
        <v>2.35</v>
      </c>
      <c r="K43" s="56"/>
      <c r="L43" s="58"/>
      <c r="M43" s="22">
        <f t="shared" si="4"/>
        <v>54.186191554296499</v>
      </c>
      <c r="N43" s="10">
        <f t="shared" si="5"/>
        <v>0.41553827879061733</v>
      </c>
      <c r="O43" s="22"/>
      <c r="P43" s="22"/>
      <c r="Q43" s="89">
        <v>130.4</v>
      </c>
      <c r="R43" s="89"/>
      <c r="T43" s="14"/>
      <c r="U43" s="5"/>
      <c r="V43" s="5"/>
      <c r="W43" s="5"/>
      <c r="X43" s="5"/>
      <c r="Y43" s="5"/>
    </row>
    <row r="44" spans="1:25" x14ac:dyDescent="0.25">
      <c r="A44" s="14" t="s">
        <v>3</v>
      </c>
      <c r="B44" s="30">
        <v>117.4</v>
      </c>
      <c r="C44" s="95"/>
      <c r="D44" s="33">
        <v>12024</v>
      </c>
      <c r="E44" s="95"/>
      <c r="F44" s="95"/>
      <c r="G44" s="26">
        <f>(5.01*(B44^0.59)*Z$69)/(86.4*I$15)</f>
        <v>13.402076519984693</v>
      </c>
      <c r="H44" s="42">
        <f>L$30^(J44-(0.6458446*LN(P$34))-(9.53942*N44*(P$34/P$33))+(4.8904*N44))</f>
        <v>30.746399864277159</v>
      </c>
      <c r="I44" s="42">
        <f>L$30^(K$28-(0.6458446*LN(P$34))-(9.53942*N44*(P$34/P$33))+(4.8904*N44))</f>
        <v>2.932258396200591</v>
      </c>
      <c r="J44" s="32">
        <v>2.35</v>
      </c>
      <c r="K44" s="56"/>
      <c r="L44" s="56"/>
      <c r="M44" s="22">
        <f t="shared" si="4"/>
        <v>54.986191554296511</v>
      </c>
      <c r="N44" s="10">
        <f t="shared" si="5"/>
        <v>0.42957962151794149</v>
      </c>
      <c r="O44" s="59"/>
      <c r="P44" s="59"/>
      <c r="Q44" s="89">
        <v>128</v>
      </c>
      <c r="R44" s="89"/>
      <c r="S44" s="14"/>
      <c r="T44" s="14"/>
      <c r="U44" s="5"/>
      <c r="V44" s="5"/>
      <c r="W44" s="5"/>
      <c r="X44" s="5"/>
      <c r="Y44" s="5"/>
    </row>
    <row r="45" spans="1:25" x14ac:dyDescent="0.25">
      <c r="A45" s="14" t="s">
        <v>4</v>
      </c>
      <c r="B45" s="30">
        <v>0</v>
      </c>
      <c r="C45" s="95"/>
      <c r="D45" s="33">
        <v>7817</v>
      </c>
      <c r="E45" s="95"/>
      <c r="F45" s="95"/>
      <c r="G45" s="26">
        <f>(5.01*(B45^0.59)*Z$69)/(86.4*I$16)</f>
        <v>0</v>
      </c>
      <c r="H45" s="42">
        <f t="shared" ref="H45:H51" si="6">L$30^(J45-(0.6458446*LN(P$34))-(9.53942*N45*(P$34/P$33))+(4.8904*N45))</f>
        <v>46.893732445048904</v>
      </c>
      <c r="I45" s="42">
        <f t="shared" ref="I45:I52" si="7">L$30^(K$28-(0.6458446*LN(P$34))-(9.53942*N45*(P$34/P$33))+(4.8904*N45))</f>
        <v>4.4722159764447387</v>
      </c>
      <c r="J45" s="32">
        <v>2.35</v>
      </c>
      <c r="K45" s="56"/>
      <c r="L45" s="56"/>
      <c r="M45" s="22">
        <f t="shared" si="4"/>
        <v>-62.413808445703495</v>
      </c>
      <c r="N45" s="10">
        <f t="shared" si="5"/>
        <v>-0.50496608774841023</v>
      </c>
      <c r="O45" s="59"/>
      <c r="P45" s="59"/>
      <c r="Q45" s="89">
        <v>123.6</v>
      </c>
      <c r="R45" s="89"/>
      <c r="S45" s="14"/>
      <c r="T45" s="14"/>
      <c r="U45" s="5"/>
      <c r="V45" s="5"/>
      <c r="W45" s="5"/>
      <c r="X45" s="5"/>
      <c r="Y45" s="5"/>
    </row>
    <row r="46" spans="1:25" x14ac:dyDescent="0.25">
      <c r="A46" s="14" t="s">
        <v>5</v>
      </c>
      <c r="B46" s="30">
        <v>1</v>
      </c>
      <c r="C46" s="95"/>
      <c r="D46" s="34">
        <v>0.71399999999999997</v>
      </c>
      <c r="E46" s="95"/>
      <c r="F46" s="95"/>
      <c r="G46" s="26">
        <f>(5.01*(B46^0.59)*Z$69)/(86.4*I$17)</f>
        <v>0.80550439814814823</v>
      </c>
      <c r="H46" s="42">
        <f t="shared" si="6"/>
        <v>32.237437503561281</v>
      </c>
      <c r="I46" s="42">
        <f t="shared" si="7"/>
        <v>4.5865514911477314</v>
      </c>
      <c r="J46" s="32">
        <v>1.95</v>
      </c>
      <c r="K46" s="56"/>
      <c r="L46" s="56"/>
      <c r="M46" s="22">
        <f t="shared" si="4"/>
        <v>-61.413808445703495</v>
      </c>
      <c r="N46" s="10">
        <f t="shared" si="5"/>
        <v>-0.56085669813427852</v>
      </c>
      <c r="O46" s="59"/>
      <c r="P46" s="59"/>
      <c r="Q46" s="89">
        <v>109.5</v>
      </c>
      <c r="R46" s="89"/>
      <c r="S46" s="14"/>
      <c r="T46" s="14"/>
      <c r="U46" s="5"/>
      <c r="V46" s="5"/>
      <c r="W46" s="5"/>
      <c r="X46" s="5"/>
      <c r="Y46" s="5"/>
    </row>
    <row r="47" spans="1:25" x14ac:dyDescent="0.25">
      <c r="A47" s="14" t="s">
        <v>6</v>
      </c>
      <c r="B47" s="30">
        <v>3.9</v>
      </c>
      <c r="C47" s="95"/>
      <c r="D47" s="34">
        <v>0.93799999999999994</v>
      </c>
      <c r="E47" s="95"/>
      <c r="F47" s="95"/>
      <c r="G47" s="26">
        <f>(5.01*(B47^0.59)*Z$69)/(86.4*I$18)</f>
        <v>1.7400254286628019</v>
      </c>
      <c r="H47" s="42">
        <f t="shared" si="6"/>
        <v>15.185142122318906</v>
      </c>
      <c r="I47" s="42">
        <f t="shared" si="7"/>
        <v>4.5736769143069225</v>
      </c>
      <c r="J47" s="32">
        <v>1.2</v>
      </c>
      <c r="K47" s="56"/>
      <c r="L47" s="56"/>
      <c r="M47" s="22">
        <f t="shared" si="4"/>
        <v>-58.513808445703496</v>
      </c>
      <c r="N47" s="10">
        <f t="shared" si="5"/>
        <v>-0.55463325540951181</v>
      </c>
      <c r="O47" s="59"/>
      <c r="P47" s="59"/>
      <c r="Q47" s="89">
        <v>105.5</v>
      </c>
      <c r="R47" s="89"/>
      <c r="S47" s="14"/>
      <c r="T47" s="14"/>
      <c r="U47" s="5"/>
      <c r="V47" s="5"/>
      <c r="W47" s="5"/>
      <c r="X47" s="5"/>
      <c r="Y47" s="5"/>
    </row>
    <row r="48" spans="1:25" x14ac:dyDescent="0.25">
      <c r="A48" s="14" t="s">
        <v>7</v>
      </c>
      <c r="B48" s="30">
        <v>0.6</v>
      </c>
      <c r="C48" s="95"/>
      <c r="D48" s="34">
        <v>0.64300000000000002</v>
      </c>
      <c r="E48" s="95"/>
      <c r="F48" s="95"/>
      <c r="G48" s="26">
        <f>(5.01*(B48^0.59)*Z$69)/(86.4*I$19)</f>
        <v>0.57668242319148233</v>
      </c>
      <c r="H48" s="42">
        <f t="shared" si="6"/>
        <v>8.0646512561687071</v>
      </c>
      <c r="I48" s="42">
        <f t="shared" si="7"/>
        <v>4.6528990130315879</v>
      </c>
      <c r="J48" s="32">
        <v>0.55000000000000004</v>
      </c>
      <c r="K48" s="56"/>
      <c r="L48" s="56"/>
      <c r="M48" s="22">
        <f t="shared" si="4"/>
        <v>-61.813808445703494</v>
      </c>
      <c r="N48" s="10">
        <f t="shared" si="5"/>
        <v>-0.59265396400482739</v>
      </c>
      <c r="O48" s="60"/>
      <c r="P48" s="59"/>
      <c r="Q48" s="89">
        <v>104.3</v>
      </c>
      <c r="R48" s="89"/>
      <c r="S48" s="14"/>
      <c r="T48" s="14"/>
      <c r="U48" s="5"/>
      <c r="V48" s="5"/>
      <c r="W48" s="5"/>
      <c r="X48" s="5"/>
      <c r="Y48" s="5"/>
    </row>
    <row r="49" spans="1:27" x14ac:dyDescent="0.25">
      <c r="A49" s="14" t="s">
        <v>8</v>
      </c>
      <c r="B49" s="30">
        <v>0.8</v>
      </c>
      <c r="C49" s="95"/>
      <c r="D49" s="34">
        <v>0.43099999999999999</v>
      </c>
      <c r="E49" s="95"/>
      <c r="F49" s="95"/>
      <c r="G49" s="26">
        <f>(5.01*(B49^0.59)*Z$69)/(86.4*I$20)</f>
        <v>0.70614031730816851</v>
      </c>
      <c r="H49" s="42">
        <f t="shared" si="6"/>
        <v>8.117197346878946</v>
      </c>
      <c r="I49" s="42">
        <f t="shared" si="7"/>
        <v>4.6832154701030984</v>
      </c>
      <c r="J49" s="32">
        <v>0.55000000000000004</v>
      </c>
      <c r="K49" s="56"/>
      <c r="L49" s="56"/>
      <c r="M49" s="22">
        <f t="shared" si="4"/>
        <v>-61.613808445703498</v>
      </c>
      <c r="N49" s="10">
        <f t="shared" si="5"/>
        <v>-0.60703259552417244</v>
      </c>
      <c r="O49" s="59"/>
      <c r="P49" s="59"/>
      <c r="Q49" s="89">
        <v>101.5</v>
      </c>
      <c r="R49" s="89"/>
      <c r="S49" s="14"/>
      <c r="T49" s="14"/>
      <c r="U49" s="5"/>
      <c r="V49" s="5"/>
      <c r="W49" s="5"/>
      <c r="X49" s="5"/>
      <c r="Y49" s="5"/>
    </row>
    <row r="50" spans="1:27" ht="18.75" x14ac:dyDescent="0.3">
      <c r="A50" s="14" t="s">
        <v>9</v>
      </c>
      <c r="B50" s="30">
        <v>1.8</v>
      </c>
      <c r="C50" s="95"/>
      <c r="D50" s="34">
        <v>0.628</v>
      </c>
      <c r="E50" s="95"/>
      <c r="F50" s="95"/>
      <c r="G50" s="26">
        <f>(5.01*(B50^0.59)*Z$69)/(86.4*I$21)</f>
        <v>1.1026514552010818</v>
      </c>
      <c r="H50" s="42">
        <f t="shared" si="6"/>
        <v>15.212734934580418</v>
      </c>
      <c r="I50" s="42">
        <f t="shared" si="7"/>
        <v>4.5819877096504706</v>
      </c>
      <c r="J50" s="32">
        <v>1.2</v>
      </c>
      <c r="K50" s="56"/>
      <c r="L50" s="56"/>
      <c r="M50" s="22">
        <f t="shared" si="4"/>
        <v>-60.613808445703498</v>
      </c>
      <c r="N50" s="10">
        <f t="shared" si="5"/>
        <v>-0.55865261240279718</v>
      </c>
      <c r="O50" s="61"/>
      <c r="P50" s="62"/>
      <c r="Q50" s="89">
        <v>108.5</v>
      </c>
      <c r="R50" s="89"/>
      <c r="S50" s="14"/>
      <c r="T50" s="14"/>
      <c r="U50" s="5"/>
      <c r="V50" s="5"/>
      <c r="W50" s="5"/>
      <c r="X50" s="5"/>
      <c r="Y50" s="5"/>
    </row>
    <row r="51" spans="1:27" x14ac:dyDescent="0.25">
      <c r="A51" s="14" t="s">
        <v>10</v>
      </c>
      <c r="B51" s="30">
        <v>0.1</v>
      </c>
      <c r="C51" s="95"/>
      <c r="D51" s="34">
        <v>0.373</v>
      </c>
      <c r="E51" s="95"/>
      <c r="F51" s="95"/>
      <c r="G51" s="26">
        <f>(5.01*(B51^0.59)*Z$69)/(86.4*I$22)</f>
        <v>0.20704651080017727</v>
      </c>
      <c r="H51" s="42">
        <f t="shared" si="6"/>
        <v>32.172221316268136</v>
      </c>
      <c r="I51" s="42">
        <f t="shared" si="7"/>
        <v>4.5772729186481866</v>
      </c>
      <c r="J51" s="32">
        <v>1.95</v>
      </c>
      <c r="K51" s="56"/>
      <c r="L51" s="56"/>
      <c r="M51" s="22">
        <f t="shared" si="4"/>
        <v>-62.313808445703494</v>
      </c>
      <c r="N51" s="10">
        <f t="shared" si="5"/>
        <v>-0.55637328969378119</v>
      </c>
      <c r="O51" s="10"/>
      <c r="P51" s="22"/>
      <c r="Q51" s="89">
        <v>112</v>
      </c>
      <c r="R51" s="89"/>
      <c r="S51" s="14"/>
      <c r="T51" s="14"/>
      <c r="U51" s="5"/>
      <c r="V51" s="5"/>
      <c r="W51" s="5"/>
      <c r="X51" s="5"/>
      <c r="Y51" s="5"/>
    </row>
    <row r="52" spans="1:27" x14ac:dyDescent="0.25">
      <c r="A52" s="14" t="s">
        <v>11</v>
      </c>
      <c r="B52" s="30">
        <v>12.9</v>
      </c>
      <c r="C52" s="95"/>
      <c r="D52" s="33">
        <v>1978</v>
      </c>
      <c r="E52" s="95"/>
      <c r="F52" s="95"/>
      <c r="G52" s="26">
        <f>(5.01*(B52^0.59)*Z$69)/(86.4*I$23)</f>
        <v>3.5243205807969193</v>
      </c>
      <c r="H52" s="42">
        <f>L$30^(J52-(0.6458446*LN(P$34))-(9.53942*N52*(P$34/P$33))+(4.8904*N52))</f>
        <v>30.071203906859864</v>
      </c>
      <c r="I52" s="42">
        <f t="shared" si="7"/>
        <v>4.2783526173375028</v>
      </c>
      <c r="J52" s="32">
        <v>1.95</v>
      </c>
      <c r="K52" s="56"/>
      <c r="L52" s="56"/>
      <c r="M52" s="22">
        <f t="shared" si="4"/>
        <v>-49.513808445703496</v>
      </c>
      <c r="N52" s="10">
        <f t="shared" si="5"/>
        <v>-0.40685134302139275</v>
      </c>
      <c r="O52" s="22"/>
      <c r="P52" s="22"/>
      <c r="Q52" s="89">
        <v>121.7</v>
      </c>
      <c r="R52" s="89"/>
      <c r="U52" s="5"/>
      <c r="V52" s="5"/>
      <c r="W52" s="5"/>
      <c r="X52" s="5"/>
      <c r="Y52" s="5"/>
    </row>
    <row r="53" spans="1:27" x14ac:dyDescent="0.25">
      <c r="A53" s="24" t="s">
        <v>12</v>
      </c>
      <c r="B53" s="25">
        <v>1982</v>
      </c>
      <c r="C53" s="25">
        <v>1982</v>
      </c>
      <c r="D53" s="25">
        <v>1982</v>
      </c>
      <c r="E53" s="25">
        <v>1982</v>
      </c>
      <c r="F53" s="25">
        <v>1982</v>
      </c>
      <c r="G53" s="25">
        <v>1982</v>
      </c>
      <c r="H53" s="25">
        <v>1982</v>
      </c>
      <c r="I53" s="25">
        <v>1982</v>
      </c>
      <c r="J53" s="47" t="s">
        <v>70</v>
      </c>
      <c r="K53" s="27"/>
      <c r="L53" s="27"/>
      <c r="M53" s="39" t="s">
        <v>60</v>
      </c>
      <c r="N53" s="39" t="s">
        <v>73</v>
      </c>
      <c r="O53" s="105" t="s">
        <v>57</v>
      </c>
      <c r="P53" s="105"/>
      <c r="Q53" s="89">
        <v>63.5</v>
      </c>
      <c r="R53" s="89"/>
      <c r="S53" s="14"/>
      <c r="T53" s="14"/>
      <c r="U53" s="14"/>
      <c r="V53" s="5"/>
      <c r="W53" s="5"/>
      <c r="X53" s="5"/>
      <c r="Y53" s="5"/>
      <c r="Z53" s="5"/>
    </row>
    <row r="54" spans="1:27" ht="15" customHeight="1" x14ac:dyDescent="0.25">
      <c r="A54" s="8" t="s">
        <v>0</v>
      </c>
      <c r="B54" s="31">
        <v>82</v>
      </c>
      <c r="C54" s="95" t="s">
        <v>80</v>
      </c>
      <c r="D54" s="1">
        <v>7838</v>
      </c>
      <c r="E54" s="95" t="s">
        <v>80</v>
      </c>
      <c r="F54" s="95" t="s">
        <v>79</v>
      </c>
      <c r="G54" s="26">
        <f>(5.01*(B54^0.59)*Z$69)/(86.4*I$12)</f>
        <v>10.494884173169709</v>
      </c>
      <c r="H54" s="42">
        <f>L$30^(J54-(0.6458446*LN(P$34))-(9.53942*N54*(P$34/P$33))+(4.8904*N54))</f>
        <v>4.3995081711364126</v>
      </c>
      <c r="I54" s="42">
        <f>L$30^(K$28-(0.6458446*LN(P$34))-(9.53942*N54*(P$34/P$33))+(4.8904*N54))</f>
        <v>3.2592358152161665</v>
      </c>
      <c r="J54" s="32">
        <v>0.3</v>
      </c>
      <c r="K54" s="56"/>
      <c r="L54" s="56"/>
      <c r="M54" s="22">
        <f>(B54-(0.74*P$55))</f>
        <v>24.733022557022046</v>
      </c>
      <c r="N54" s="10">
        <f>M54/Q54</f>
        <v>0.19551796487764464</v>
      </c>
      <c r="O54" s="50" t="s">
        <v>58</v>
      </c>
      <c r="P54" s="22">
        <f>(B54+B55+B56+B57+B58+B59+B60+B61+B62+B63+B64+B65)/12</f>
        <v>69.599999999999994</v>
      </c>
      <c r="Q54" s="89">
        <v>126.5</v>
      </c>
      <c r="R54" s="89"/>
      <c r="S54" s="5"/>
      <c r="T54" s="5"/>
      <c r="U54" s="5"/>
      <c r="V54" s="5"/>
      <c r="W54" s="5"/>
      <c r="X54" s="5"/>
      <c r="Y54" s="5"/>
      <c r="Z54" s="5"/>
    </row>
    <row r="55" spans="1:27" x14ac:dyDescent="0.25">
      <c r="A55" s="8" t="s">
        <v>1</v>
      </c>
      <c r="B55" s="31">
        <v>73</v>
      </c>
      <c r="C55" s="95"/>
      <c r="D55" s="1">
        <v>8809</v>
      </c>
      <c r="E55" s="95"/>
      <c r="F55" s="95"/>
      <c r="G55" s="26">
        <f>(5.01*(B55^0.59)*Z$69)/(86.4*J$13)</f>
        <v>10.474942805731121</v>
      </c>
      <c r="H55" s="42">
        <f>L$30^(J55-(0.6458446*LN(P$34))-(9.53942*N55*(P$34/P$33))+(4.8904*N55))</f>
        <v>35.085730336782262</v>
      </c>
      <c r="I55" s="42">
        <f>L$30^(K$28-(0.6458446*LN(P$34))-(9.53942*N55*(P$34/P$33))+(4.8904*N55))</f>
        <v>3.3460967079398345</v>
      </c>
      <c r="J55" s="32">
        <v>2.35</v>
      </c>
      <c r="K55" s="56"/>
      <c r="L55" s="56"/>
      <c r="M55" s="22">
        <f t="shared" ref="M55:M65" si="8">(B55-(0.74*P$55))</f>
        <v>15.733022557022046</v>
      </c>
      <c r="N55" s="10">
        <f t="shared" ref="N55:N65" si="9">M55/Q55</f>
        <v>0.13728640974713829</v>
      </c>
      <c r="O55" s="50" t="s">
        <v>66</v>
      </c>
      <c r="P55" s="22">
        <f>((((B54-P54)^2+(B55-P54)^2+(B56-P54)^2+(B57-P54)^2+(B58-P54)^2+(B59-P54)^2+(B60-P54)^2+(B61-P54)^2+(B62-P54)^2+(B63-P54)^2+(B64-P54)^2+(B65-P54)^2))/(12-1))^0.5</f>
        <v>77.387807355375614</v>
      </c>
      <c r="Q55" s="89">
        <v>114.6</v>
      </c>
      <c r="R55" s="89"/>
      <c r="S55" s="5"/>
      <c r="T55" s="5"/>
      <c r="U55" s="5"/>
      <c r="V55" s="5"/>
      <c r="W55" s="5"/>
      <c r="X55" s="5"/>
      <c r="Y55" s="5"/>
      <c r="Z55" s="5"/>
    </row>
    <row r="56" spans="1:27" ht="15" customHeight="1" x14ac:dyDescent="0.25">
      <c r="A56" s="8" t="s">
        <v>2</v>
      </c>
      <c r="B56" s="31">
        <v>91.5</v>
      </c>
      <c r="C56" s="95"/>
      <c r="D56" s="1">
        <v>9686</v>
      </c>
      <c r="E56" s="95"/>
      <c r="F56" s="95"/>
      <c r="G56" s="26">
        <f>(5.01*(B56^0.59)*Z$69)/(86.4*I$14)</f>
        <v>11.19607818123041</v>
      </c>
      <c r="H56" s="42">
        <f>L$30^(J56-(0.6458446*LN(P$34))-(9.53942*N56*(P$34/P$33))+(4.8904*N56))</f>
        <v>33.156148078899633</v>
      </c>
      <c r="I56" s="42">
        <f>L$30^(K$28-(0.6458446*LN(P$34))-(9.53942*N56*(P$34/P$33))+(4.8904*N56))</f>
        <v>3.1620740645795675</v>
      </c>
      <c r="J56" s="32">
        <v>2.35</v>
      </c>
      <c r="K56" s="56"/>
      <c r="L56" s="58"/>
      <c r="M56" s="22">
        <f t="shared" si="8"/>
        <v>34.233022557022046</v>
      </c>
      <c r="N56" s="10">
        <f t="shared" si="9"/>
        <v>0.26252317911826722</v>
      </c>
      <c r="O56" s="22"/>
      <c r="P56" s="22"/>
      <c r="Q56" s="89">
        <v>130.4</v>
      </c>
      <c r="R56" s="89"/>
      <c r="S56" s="5"/>
      <c r="T56" s="5"/>
      <c r="U56" s="5"/>
      <c r="V56" s="5"/>
      <c r="W56" s="5"/>
      <c r="X56" s="5"/>
      <c r="Y56" s="5"/>
      <c r="Z56" s="5"/>
    </row>
    <row r="57" spans="1:27" x14ac:dyDescent="0.25">
      <c r="A57" s="8" t="s">
        <v>3</v>
      </c>
      <c r="B57" s="31">
        <v>27.9</v>
      </c>
      <c r="C57" s="95"/>
      <c r="D57" s="1">
        <v>5719</v>
      </c>
      <c r="E57" s="95"/>
      <c r="F57" s="95"/>
      <c r="G57" s="26">
        <f>(5.01*(B57^0.59)*Z$69)/(86.4*I$15)</f>
        <v>5.7408261593495116</v>
      </c>
      <c r="H57" s="42">
        <f>L$30^(J57-(0.6458446*LN(P$34))-(9.53942*N57*(P$34/P$33))+(4.8904*N57))</f>
        <v>41.406215055153268</v>
      </c>
      <c r="I57" s="42">
        <f>L$30^(K$28-(0.6458446*LN(P$34))-(9.53942*N57*(P$34/P$33))+(4.8904*N57))</f>
        <v>3.9488760403270979</v>
      </c>
      <c r="J57" s="32">
        <v>2.35</v>
      </c>
      <c r="K57" s="56"/>
      <c r="L57" s="56"/>
      <c r="M57" s="22">
        <f t="shared" si="8"/>
        <v>-29.366977442977955</v>
      </c>
      <c r="N57" s="10">
        <f t="shared" si="9"/>
        <v>-0.22942951127326527</v>
      </c>
      <c r="O57" s="59"/>
      <c r="P57" s="59"/>
      <c r="Q57" s="89">
        <v>128</v>
      </c>
      <c r="R57" s="89"/>
      <c r="S57" s="5"/>
      <c r="T57" s="5"/>
      <c r="U57" s="5"/>
      <c r="V57" s="5"/>
      <c r="W57" s="5"/>
      <c r="X57" s="5"/>
      <c r="Y57" s="5"/>
      <c r="Z57" s="5"/>
    </row>
    <row r="58" spans="1:27" x14ac:dyDescent="0.25">
      <c r="A58" s="8" t="s">
        <v>4</v>
      </c>
      <c r="B58" s="31">
        <v>29.2</v>
      </c>
      <c r="C58" s="95"/>
      <c r="D58" s="10">
        <v>4.3899999999999997</v>
      </c>
      <c r="E58" s="95"/>
      <c r="F58" s="95"/>
      <c r="G58" s="26">
        <f>(5.01*(B58^0.59)*Z$69)/(86.4*I$16)</f>
        <v>5.7069406923703196</v>
      </c>
      <c r="H58" s="42">
        <f t="shared" ref="H58:H65" si="10">L$30^(J58-(0.6458446*LN(P$34))-(9.53942*N58*(P$34/P$33))+(4.8904*N58))</f>
        <v>41.362280714614904</v>
      </c>
      <c r="I58" s="42">
        <f t="shared" ref="I58:I65" si="11">L$30^(K$28-(0.6458446*LN(P$34))-(9.53942*N58*(P$34/P$33))+(4.8904*N58))</f>
        <v>3.9446860590774664</v>
      </c>
      <c r="J58" s="32">
        <v>2.35</v>
      </c>
      <c r="K58" s="56"/>
      <c r="L58" s="56"/>
      <c r="M58" s="22">
        <f t="shared" si="8"/>
        <v>-28.066977442977954</v>
      </c>
      <c r="N58" s="10">
        <f t="shared" si="9"/>
        <v>-0.22707910552571162</v>
      </c>
      <c r="O58" s="59"/>
      <c r="P58" s="59"/>
      <c r="Q58" s="89">
        <v>123.6</v>
      </c>
      <c r="R58" s="89"/>
    </row>
    <row r="59" spans="1:27" x14ac:dyDescent="0.25">
      <c r="A59" s="8" t="s">
        <v>5</v>
      </c>
      <c r="B59" s="31">
        <v>2.2999999999999998</v>
      </c>
      <c r="C59" s="95"/>
      <c r="D59" s="1">
        <v>1896</v>
      </c>
      <c r="E59" s="95"/>
      <c r="F59" s="95"/>
      <c r="G59" s="26">
        <f>(5.01*(B59^0.59)*Z$69)/(86.4*I$17)</f>
        <v>1.3167015272651965</v>
      </c>
      <c r="H59" s="42">
        <f t="shared" si="10"/>
        <v>31.391463059358738</v>
      </c>
      <c r="I59" s="42">
        <f t="shared" si="11"/>
        <v>4.4661912625128899</v>
      </c>
      <c r="J59" s="32">
        <v>1.95</v>
      </c>
      <c r="K59" s="56"/>
      <c r="L59" s="56"/>
      <c r="M59" s="22">
        <f t="shared" si="8"/>
        <v>-54.966977442977957</v>
      </c>
      <c r="N59" s="10">
        <f t="shared" si="9"/>
        <v>-0.50198152915961602</v>
      </c>
      <c r="O59" s="59"/>
      <c r="P59" s="59"/>
      <c r="Q59" s="89">
        <v>109.5</v>
      </c>
      <c r="R59" s="89"/>
    </row>
    <row r="60" spans="1:27" x14ac:dyDescent="0.25">
      <c r="A60" s="8" t="s">
        <v>6</v>
      </c>
      <c r="B60" s="31">
        <v>13.2</v>
      </c>
      <c r="C60" s="95"/>
      <c r="D60" s="1">
        <v>2161</v>
      </c>
      <c r="E60" s="95"/>
      <c r="F60" s="95"/>
      <c r="G60" s="26">
        <f>(5.01*(B60^0.59)*Z$69)/(86.4*I$18)</f>
        <v>3.5724494837112046</v>
      </c>
      <c r="H60" s="42">
        <f t="shared" si="10"/>
        <v>14.274382644658251</v>
      </c>
      <c r="I60" s="42">
        <f t="shared" si="11"/>
        <v>4.2993614311913353</v>
      </c>
      <c r="J60" s="32">
        <v>1.2</v>
      </c>
      <c r="K60" s="56"/>
      <c r="L60" s="56"/>
      <c r="M60" s="22">
        <f t="shared" si="8"/>
        <v>-44.066977442977958</v>
      </c>
      <c r="N60" s="10">
        <f t="shared" si="9"/>
        <v>-0.41769646865381949</v>
      </c>
      <c r="O60" s="59"/>
      <c r="P60" s="59"/>
      <c r="Q60" s="89">
        <v>105.5</v>
      </c>
      <c r="R60" s="89"/>
      <c r="U60" s="90" t="s">
        <v>37</v>
      </c>
      <c r="V60" s="90"/>
      <c r="W60" s="90"/>
    </row>
    <row r="61" spans="1:27" x14ac:dyDescent="0.25">
      <c r="A61" s="8" t="s">
        <v>7</v>
      </c>
      <c r="B61" s="31">
        <v>0</v>
      </c>
      <c r="C61" s="95"/>
      <c r="D61" s="1">
        <v>2209</v>
      </c>
      <c r="E61" s="95"/>
      <c r="F61" s="95"/>
      <c r="G61" s="26">
        <f>(5.01*(B61^0.59)*Z$69)/(86.4*I$19)</f>
        <v>0</v>
      </c>
      <c r="H61" s="42">
        <f t="shared" si="10"/>
        <v>7.9074095750272715</v>
      </c>
      <c r="I61" s="42">
        <f t="shared" si="11"/>
        <v>4.5621784549131252</v>
      </c>
      <c r="J61" s="32">
        <v>0.55000000000000004</v>
      </c>
      <c r="K61" s="56"/>
      <c r="L61" s="56"/>
      <c r="M61" s="22">
        <f t="shared" si="8"/>
        <v>-57.266977442977954</v>
      </c>
      <c r="N61" s="10">
        <f t="shared" si="9"/>
        <v>-0.54906018641397847</v>
      </c>
      <c r="O61" s="60"/>
      <c r="P61" s="59"/>
      <c r="Q61" s="89">
        <v>104.3</v>
      </c>
      <c r="R61" s="89"/>
    </row>
    <row r="62" spans="1:27" x14ac:dyDescent="0.25">
      <c r="A62" s="8" t="s">
        <v>8</v>
      </c>
      <c r="B62" s="31">
        <v>5.7</v>
      </c>
      <c r="C62" s="95"/>
      <c r="D62" s="10">
        <v>1.1200000000000001</v>
      </c>
      <c r="E62" s="95"/>
      <c r="F62" s="95"/>
      <c r="G62" s="26">
        <f>(5.01*(B62^0.59)*Z$69)/(86.4*I$20)</f>
        <v>2.24923110549646</v>
      </c>
      <c r="H62" s="42">
        <f t="shared" si="10"/>
        <v>7.7622832371580284</v>
      </c>
      <c r="I62" s="42">
        <f t="shared" si="11"/>
        <v>4.4784478417982418</v>
      </c>
      <c r="J62" s="32">
        <v>0.55000000000000004</v>
      </c>
      <c r="K62" s="56"/>
      <c r="L62" s="56"/>
      <c r="M62" s="22">
        <f t="shared" si="8"/>
        <v>-51.566977442977951</v>
      </c>
      <c r="N62" s="10">
        <f t="shared" si="9"/>
        <v>-0.50804903884707342</v>
      </c>
      <c r="O62" s="59"/>
      <c r="P62" s="59"/>
      <c r="Q62" s="89">
        <v>101.5</v>
      </c>
      <c r="R62" s="89"/>
      <c r="AA62" s="5"/>
    </row>
    <row r="63" spans="1:27" ht="18.75" x14ac:dyDescent="0.3">
      <c r="A63" s="8" t="s">
        <v>9</v>
      </c>
      <c r="B63" s="31">
        <v>114.8</v>
      </c>
      <c r="C63" s="95"/>
      <c r="D63" s="1">
        <v>9888</v>
      </c>
      <c r="E63" s="95"/>
      <c r="F63" s="95"/>
      <c r="G63" s="26">
        <f>(5.01*(B63^0.59)*Z$69)/(86.4*I$21)</f>
        <v>12.799505488087387</v>
      </c>
      <c r="H63" s="42">
        <f t="shared" si="10"/>
        <v>9.3026458531399463</v>
      </c>
      <c r="I63" s="42">
        <f t="shared" si="11"/>
        <v>2.8019030864349825</v>
      </c>
      <c r="J63" s="32">
        <v>1.2</v>
      </c>
      <c r="K63" s="56"/>
      <c r="L63" s="56"/>
      <c r="M63" s="22">
        <f t="shared" si="8"/>
        <v>57.533022557022043</v>
      </c>
      <c r="N63" s="10">
        <f t="shared" si="9"/>
        <v>0.53025827241494972</v>
      </c>
      <c r="O63" s="61"/>
      <c r="P63" s="62"/>
      <c r="Q63" s="89">
        <v>108.5</v>
      </c>
      <c r="R63" s="89"/>
      <c r="AA63" s="5"/>
    </row>
    <row r="64" spans="1:27" x14ac:dyDescent="0.25">
      <c r="A64" s="8" t="s">
        <v>10</v>
      </c>
      <c r="B64" s="31">
        <v>126</v>
      </c>
      <c r="C64" s="95"/>
      <c r="D64" s="1">
        <v>12572</v>
      </c>
      <c r="E64" s="95"/>
      <c r="F64" s="95"/>
      <c r="G64" s="26">
        <f>(5.01*(B64^0.59)*Z$69)/(86.4*I$22)</f>
        <v>13.972899573192237</v>
      </c>
      <c r="H64" s="42">
        <f t="shared" si="10"/>
        <v>18.965392216751933</v>
      </c>
      <c r="I64" s="42">
        <f t="shared" si="11"/>
        <v>2.6982835699126464</v>
      </c>
      <c r="J64" s="32">
        <v>1.95</v>
      </c>
      <c r="K64" s="56"/>
      <c r="L64" s="56"/>
      <c r="M64" s="22">
        <f t="shared" si="8"/>
        <v>68.733022557022053</v>
      </c>
      <c r="N64" s="10">
        <f t="shared" si="9"/>
        <v>0.61368770140198259</v>
      </c>
      <c r="O64" s="62"/>
      <c r="P64" s="59"/>
      <c r="Q64" s="89">
        <v>112</v>
      </c>
      <c r="R64" s="89"/>
      <c r="AA64" s="5"/>
    </row>
    <row r="65" spans="1:27" x14ac:dyDescent="0.25">
      <c r="A65" s="8" t="s">
        <v>11</v>
      </c>
      <c r="B65" s="31">
        <v>269.60000000000002</v>
      </c>
      <c r="C65" s="95"/>
      <c r="D65" s="10">
        <v>19.59</v>
      </c>
      <c r="E65" s="95"/>
      <c r="F65" s="95"/>
      <c r="G65" s="26">
        <f>(5.01*(B65^0.59)*Z$69)/(86.4*I$23)</f>
        <v>21.181280462958274</v>
      </c>
      <c r="H65" s="42">
        <f t="shared" si="10"/>
        <v>11.378827535337445</v>
      </c>
      <c r="I65" s="42">
        <f t="shared" si="11"/>
        <v>1.6189121233332961</v>
      </c>
      <c r="J65" s="32">
        <v>1.95</v>
      </c>
      <c r="K65" s="56"/>
      <c r="L65" s="56"/>
      <c r="M65" s="22">
        <f t="shared" si="8"/>
        <v>212.33302255702208</v>
      </c>
      <c r="N65" s="10">
        <f t="shared" si="9"/>
        <v>1.7447249182992774</v>
      </c>
      <c r="O65" s="22"/>
      <c r="P65" s="22"/>
      <c r="Q65" s="89">
        <v>121.7</v>
      </c>
      <c r="R65" s="89"/>
      <c r="AA65" s="5"/>
    </row>
    <row r="66" spans="1:27" x14ac:dyDescent="0.25">
      <c r="A66" s="8" t="s">
        <v>12</v>
      </c>
      <c r="B66" s="12">
        <v>1983</v>
      </c>
      <c r="C66" s="12">
        <v>1983</v>
      </c>
      <c r="D66" s="12">
        <v>1983</v>
      </c>
      <c r="E66" s="12">
        <v>1983</v>
      </c>
      <c r="F66" s="12">
        <v>1983</v>
      </c>
      <c r="G66" s="12">
        <v>1983</v>
      </c>
      <c r="H66" s="12">
        <v>1983</v>
      </c>
      <c r="I66" s="12">
        <v>1983</v>
      </c>
      <c r="J66" s="47" t="s">
        <v>70</v>
      </c>
      <c r="K66" s="27"/>
      <c r="L66" s="27"/>
      <c r="M66" s="39" t="s">
        <v>60</v>
      </c>
      <c r="N66" s="39" t="s">
        <v>73</v>
      </c>
      <c r="O66" s="105" t="s">
        <v>57</v>
      </c>
      <c r="P66" s="105"/>
      <c r="Q66" s="90" t="s">
        <v>76</v>
      </c>
      <c r="R66" s="90"/>
      <c r="S66" s="54"/>
      <c r="U66" s="5"/>
      <c r="V66" s="5"/>
      <c r="W66" s="5"/>
      <c r="X66" s="5"/>
      <c r="Y66" s="5"/>
      <c r="Z66" s="5"/>
    </row>
    <row r="67" spans="1:27" ht="15" customHeight="1" x14ac:dyDescent="0.25">
      <c r="A67" s="8" t="s">
        <v>0</v>
      </c>
      <c r="B67" s="31">
        <v>352.1</v>
      </c>
      <c r="C67" s="95" t="s">
        <v>80</v>
      </c>
      <c r="D67" s="1">
        <v>24801</v>
      </c>
      <c r="E67" s="95" t="s">
        <v>80</v>
      </c>
      <c r="F67" s="95" t="s">
        <v>79</v>
      </c>
      <c r="G67" s="26">
        <f>(5.01*(B67^0.59)*Z$69)/(86.4*I$12)</f>
        <v>24.794789849320079</v>
      </c>
      <c r="H67" s="42">
        <f>L$30^(J67-(0.6458446*LN(P$34))-(9.53942*N67*(P$34/P$33))+(4.8904*N67))</f>
        <v>161.09313589296187</v>
      </c>
      <c r="I67" s="42">
        <f>L$30^(K$28-(0.6458446*LN(P$34))-(9.53942*N67*(P$34/P$33))+(4.8904*N67))</f>
        <v>1.4651867101277223</v>
      </c>
      <c r="J67" s="32">
        <v>4.7</v>
      </c>
      <c r="K67" s="56"/>
      <c r="L67" s="56"/>
      <c r="M67" s="22">
        <f>(B67-(0.74*P$68))</f>
        <v>248.65061719723641</v>
      </c>
      <c r="N67" s="10">
        <f>M67/Q67</f>
        <v>1.9656175272508807</v>
      </c>
      <c r="O67" s="50" t="s">
        <v>58</v>
      </c>
      <c r="P67" s="22">
        <f>(B67+B68+B69+B70+B71+B72+B73+B74+B75+B76+B77+B78)/12</f>
        <v>200.97499999999994</v>
      </c>
      <c r="Q67" s="89">
        <v>126.5</v>
      </c>
      <c r="R67" s="89"/>
      <c r="S67" s="53"/>
      <c r="X67" s="5"/>
      <c r="Y67" s="5"/>
      <c r="Z67" s="5"/>
    </row>
    <row r="68" spans="1:27" x14ac:dyDescent="0.25">
      <c r="A68" s="8" t="s">
        <v>1</v>
      </c>
      <c r="B68" s="31">
        <v>269.7</v>
      </c>
      <c r="C68" s="95"/>
      <c r="D68" s="1">
        <v>22725</v>
      </c>
      <c r="E68" s="95"/>
      <c r="F68" s="95"/>
      <c r="G68" s="26">
        <f>(5.01*(B68^0.59)*Z$69)/(86.4*J$13)</f>
        <v>22.647013099089719</v>
      </c>
      <c r="H68" s="42">
        <f>L$30^(J68-(0.6458446*LN(P$34))-(9.53942*N68*(P$34/P$33))+(4.8904*N68))</f>
        <v>203.27435990102325</v>
      </c>
      <c r="I68" s="42">
        <f>L$30^(K$28-(0.6458446*LN(P$34))-(9.53942*N68*(P$34/P$33))+(4.8904*N68))</f>
        <v>1.848836630969769</v>
      </c>
      <c r="J68" s="32">
        <v>4.7</v>
      </c>
      <c r="K68" s="56"/>
      <c r="L68" s="56"/>
      <c r="M68" s="22">
        <f t="shared" ref="M68:M78" si="12">(B68-(0.74*P$68))</f>
        <v>166.25061719723638</v>
      </c>
      <c r="N68" s="10">
        <f t="shared" ref="N68:N78" si="13">M68/Q68</f>
        <v>1.4507034659444711</v>
      </c>
      <c r="O68" s="50" t="s">
        <v>66</v>
      </c>
      <c r="P68" s="22">
        <f>((((B67-P67)^2+(B68-P67)^2+(B69-P67)^2+(B70-P67)^2+(B71-P67)^2+(B72-P67)^2+(B73-P67)^2+(B74-P67)^2+(B75-P67)^2+(B76-P67)^2+(B77-P67)^2+(B78-P67)^2))/(12-1))^0.5</f>
        <v>139.79646324697785</v>
      </c>
      <c r="Q68" s="89">
        <v>114.6</v>
      </c>
      <c r="R68" s="89"/>
      <c r="S68" s="5" t="s">
        <v>38</v>
      </c>
      <c r="T68" s="5"/>
      <c r="U68" s="5"/>
      <c r="V68" s="5"/>
      <c r="W68" s="5"/>
      <c r="X68" s="5"/>
      <c r="Y68" s="5"/>
      <c r="Z68" s="5"/>
      <c r="AA68" s="5"/>
    </row>
    <row r="69" spans="1:27" x14ac:dyDescent="0.25">
      <c r="A69" s="8" t="s">
        <v>2</v>
      </c>
      <c r="B69" s="31">
        <v>313.89999999999998</v>
      </c>
      <c r="C69" s="95"/>
      <c r="D69" s="1">
        <v>23395</v>
      </c>
      <c r="E69" s="95"/>
      <c r="F69" s="95"/>
      <c r="G69" s="26">
        <f>(5.01*(B69^0.59)*Z$69)/(86.4*I$14)</f>
        <v>23.170443852702082</v>
      </c>
      <c r="H69" s="42">
        <f>L$30^(J69-(0.6458446*LN(P$34))-(9.53942*N69*(P$34/P$33))+(4.8904*N69))</f>
        <v>188.83082254929965</v>
      </c>
      <c r="I69" s="42">
        <f>L$30^(K$28-(0.6458446*LN(P$34))-(9.53942*N69*(P$34/P$33))+(4.8904*N69))</f>
        <v>1.7174686564271409</v>
      </c>
      <c r="J69" s="32">
        <v>4.7</v>
      </c>
      <c r="K69" s="56"/>
      <c r="L69" s="58"/>
      <c r="M69" s="22">
        <f t="shared" si="12"/>
        <v>210.45061719723637</v>
      </c>
      <c r="N69" s="10">
        <f t="shared" si="13"/>
        <v>1.6138851012058002</v>
      </c>
      <c r="O69" s="22"/>
      <c r="P69" s="22"/>
      <c r="Q69" s="89">
        <v>130.4</v>
      </c>
      <c r="R69" s="89"/>
      <c r="S69" s="5" t="s">
        <v>39</v>
      </c>
      <c r="T69" s="5"/>
      <c r="U69" s="5"/>
      <c r="V69" s="5"/>
      <c r="W69" s="5"/>
      <c r="X69" s="5"/>
      <c r="Y69" t="s">
        <v>35</v>
      </c>
      <c r="Z69" s="15">
        <v>416.74</v>
      </c>
      <c r="AA69" t="s">
        <v>36</v>
      </c>
    </row>
    <row r="70" spans="1:27" x14ac:dyDescent="0.25">
      <c r="A70" s="8" t="s">
        <v>3</v>
      </c>
      <c r="B70" s="31">
        <v>380.9</v>
      </c>
      <c r="C70" s="95"/>
      <c r="D70" s="1">
        <v>26625</v>
      </c>
      <c r="E70" s="95"/>
      <c r="F70" s="95"/>
      <c r="G70" s="26">
        <f>(5.01*(B70^0.59)*Z$69)/(86.4*I$15)</f>
        <v>26.837767730025412</v>
      </c>
      <c r="H70" s="42">
        <f>L$30^(J70-(0.6458446*LN(P$34))-(9.53942*N70*(P$34/P$33))+(4.8904*N70))</f>
        <v>147.04812442485041</v>
      </c>
      <c r="I70" s="42">
        <f>L$30^(K$28-(0.6458446*LN(P$34))-(9.53942*N70*(P$34/P$33))+(4.8904*N70))</f>
        <v>1.3374434389287448</v>
      </c>
      <c r="J70" s="32">
        <v>4.7</v>
      </c>
      <c r="K70" s="56"/>
      <c r="L70" s="56"/>
      <c r="M70" s="22">
        <f t="shared" si="12"/>
        <v>277.4506171972364</v>
      </c>
      <c r="N70" s="10">
        <f t="shared" si="13"/>
        <v>2.1675829468534094</v>
      </c>
      <c r="O70" s="59"/>
      <c r="P70" s="59"/>
      <c r="Q70" s="89">
        <v>128</v>
      </c>
      <c r="R70" s="89"/>
      <c r="S70" s="5" t="s">
        <v>40</v>
      </c>
      <c r="T70" s="5"/>
      <c r="U70" s="5"/>
      <c r="V70" s="5"/>
      <c r="W70" s="5"/>
      <c r="X70" s="5"/>
      <c r="Y70" s="5"/>
      <c r="Z70" s="5"/>
      <c r="AA70" s="5"/>
    </row>
    <row r="71" spans="1:27" x14ac:dyDescent="0.25">
      <c r="A71" s="8" t="s">
        <v>4</v>
      </c>
      <c r="B71" s="31">
        <v>325.3</v>
      </c>
      <c r="C71" s="95"/>
      <c r="D71" s="1">
        <v>25114</v>
      </c>
      <c r="E71" s="95"/>
      <c r="F71" s="95"/>
      <c r="G71" s="26">
        <f>(5.01*(B71^0.59)*Z$69)/(86.4*I$16)</f>
        <v>23.663287173628184</v>
      </c>
      <c r="H71" s="42">
        <f t="shared" ref="H71:H78" si="14">L$30^(J71-(0.6458446*LN(P$34))-(9.53942*N71*(P$34/P$33))+(4.8904*N71))</f>
        <v>174.00568721041262</v>
      </c>
      <c r="I71" s="42">
        <f t="shared" ref="I71:I78" si="15">L$30^(K$28-(0.6458446*LN(P$34))-(9.53942*N71*(P$34/P$33))+(4.8904*N71))</f>
        <v>1.5826299424498116</v>
      </c>
      <c r="J71" s="32">
        <v>4.7</v>
      </c>
      <c r="K71" s="56"/>
      <c r="L71" s="56"/>
      <c r="M71" s="22">
        <f t="shared" si="12"/>
        <v>221.8506171972364</v>
      </c>
      <c r="N71" s="10">
        <f t="shared" si="13"/>
        <v>1.7949079061265083</v>
      </c>
      <c r="O71" s="59"/>
      <c r="P71" s="59"/>
      <c r="Q71" s="89">
        <v>123.6</v>
      </c>
      <c r="R71" s="89"/>
      <c r="S71" s="5" t="s">
        <v>41</v>
      </c>
      <c r="T71" s="5"/>
      <c r="U71" s="5"/>
      <c r="V71" s="5"/>
      <c r="W71" s="5"/>
      <c r="X71" s="5"/>
      <c r="Y71" s="5"/>
      <c r="Z71" s="5"/>
      <c r="AA71" s="5"/>
    </row>
    <row r="72" spans="1:27" x14ac:dyDescent="0.25">
      <c r="A72" s="8" t="s">
        <v>5</v>
      </c>
      <c r="B72" s="31">
        <v>202.7</v>
      </c>
      <c r="C72" s="95"/>
      <c r="D72" s="1">
        <v>19685</v>
      </c>
      <c r="E72" s="95"/>
      <c r="F72" s="95"/>
      <c r="G72" s="26">
        <f>(5.01*(B72^0.59)*Z$69)/(86.4*I$17)</f>
        <v>18.49744002175531</v>
      </c>
      <c r="H72" s="42">
        <f t="shared" si="14"/>
        <v>116.79330213786953</v>
      </c>
      <c r="I72" s="42">
        <f t="shared" si="15"/>
        <v>2.3641196793379846</v>
      </c>
      <c r="J72" s="32">
        <v>3.9</v>
      </c>
      <c r="K72" s="56"/>
      <c r="L72" s="56"/>
      <c r="M72" s="22">
        <f t="shared" si="12"/>
        <v>99.25061719723638</v>
      </c>
      <c r="N72" s="10">
        <f>M72/Q72</f>
        <v>0.90639833056836872</v>
      </c>
      <c r="O72" s="59"/>
      <c r="P72" s="59"/>
      <c r="Q72" s="89">
        <v>109.5</v>
      </c>
      <c r="R72" s="89"/>
      <c r="S72" s="10"/>
      <c r="T72" t="s">
        <v>42</v>
      </c>
      <c r="AA72" s="5"/>
    </row>
    <row r="73" spans="1:27" x14ac:dyDescent="0.25">
      <c r="A73" s="8" t="s">
        <v>6</v>
      </c>
      <c r="B73" s="31">
        <v>292.60000000000002</v>
      </c>
      <c r="C73" s="95"/>
      <c r="D73" s="1">
        <v>22125</v>
      </c>
      <c r="E73" s="95"/>
      <c r="F73" s="95"/>
      <c r="G73" s="26">
        <f>(5.01*(B73^0.59)*Z$69)/(86.4*I$18)</f>
        <v>22.229481185270973</v>
      </c>
      <c r="H73" s="42">
        <f t="shared" si="14"/>
        <v>17.461462853265452</v>
      </c>
      <c r="I73" s="42">
        <f t="shared" si="15"/>
        <v>1.5840681714874489</v>
      </c>
      <c r="J73" s="32">
        <v>2.4</v>
      </c>
      <c r="K73" s="56"/>
      <c r="L73" s="56"/>
      <c r="M73" s="22">
        <f t="shared" si="12"/>
        <v>189.15061719723641</v>
      </c>
      <c r="N73" s="10">
        <f t="shared" si="13"/>
        <v>1.7928968454714351</v>
      </c>
      <c r="O73" s="59"/>
      <c r="P73" s="59"/>
      <c r="Q73" s="89">
        <v>105.5</v>
      </c>
      <c r="R73" s="89"/>
      <c r="S73" s="10"/>
      <c r="T73" t="s">
        <v>43</v>
      </c>
      <c r="AA73" s="5"/>
    </row>
    <row r="74" spans="1:27" ht="15.75" customHeight="1" x14ac:dyDescent="0.25">
      <c r="A74" s="8" t="s">
        <v>7</v>
      </c>
      <c r="B74" s="31">
        <v>109.9</v>
      </c>
      <c r="C74" s="95"/>
      <c r="D74" s="1">
        <v>14679</v>
      </c>
      <c r="E74" s="95"/>
      <c r="F74" s="95"/>
      <c r="G74" s="26">
        <f>(5.01*(B74^0.59)*Z$69)/(86.4*I$19)</f>
        <v>12.474298020784525</v>
      </c>
      <c r="H74" s="42">
        <f t="shared" si="14"/>
        <v>10.400654356132931</v>
      </c>
      <c r="I74" s="42">
        <f t="shared" si="15"/>
        <v>3.4620770866953445</v>
      </c>
      <c r="J74" s="32">
        <v>1.1000000000000001</v>
      </c>
      <c r="K74" s="56"/>
      <c r="L74" s="56"/>
      <c r="M74" s="22">
        <f t="shared" si="12"/>
        <v>6.4506171972363973</v>
      </c>
      <c r="N74" s="10">
        <f t="shared" si="13"/>
        <v>6.1846761239083392E-2</v>
      </c>
      <c r="O74" s="60"/>
      <c r="P74" s="59"/>
      <c r="Q74" s="89">
        <v>104.3</v>
      </c>
      <c r="R74" s="89"/>
      <c r="S74" s="10"/>
      <c r="T74" t="s">
        <v>44</v>
      </c>
      <c r="AA74" s="5"/>
    </row>
    <row r="75" spans="1:27" x14ac:dyDescent="0.25">
      <c r="A75" s="8" t="s">
        <v>8</v>
      </c>
      <c r="B75" s="31">
        <v>113.7</v>
      </c>
      <c r="C75" s="95"/>
      <c r="D75" s="1">
        <v>12144</v>
      </c>
      <c r="E75" s="95"/>
      <c r="F75" s="95"/>
      <c r="G75" s="26">
        <f>(5.01*(B75^0.59)*Z$69)/(86.4*I$20)</f>
        <v>13.151236573535789</v>
      </c>
      <c r="H75" s="42">
        <f t="shared" si="14"/>
        <v>10.218380460461404</v>
      </c>
      <c r="I75" s="42">
        <f t="shared" si="15"/>
        <v>3.4014033775132906</v>
      </c>
      <c r="J75" s="32">
        <v>1.1000000000000001</v>
      </c>
      <c r="K75" s="56"/>
      <c r="L75" s="56"/>
      <c r="M75" s="22">
        <f t="shared" si="12"/>
        <v>10.250617197236394</v>
      </c>
      <c r="N75" s="10">
        <f t="shared" si="13"/>
        <v>0.10099130243582655</v>
      </c>
      <c r="O75" s="59"/>
      <c r="P75" s="59"/>
      <c r="Q75" s="89">
        <v>101.5</v>
      </c>
      <c r="R75" s="89"/>
      <c r="S75" s="10"/>
      <c r="T75" t="s">
        <v>45</v>
      </c>
      <c r="AA75" s="5"/>
    </row>
    <row r="76" spans="1:27" ht="18.75" x14ac:dyDescent="0.3">
      <c r="A76" s="8" t="s">
        <v>9</v>
      </c>
      <c r="B76" s="31">
        <v>0.6</v>
      </c>
      <c r="C76" s="95"/>
      <c r="D76" s="1">
        <v>3768</v>
      </c>
      <c r="E76" s="95"/>
      <c r="F76" s="95"/>
      <c r="G76" s="26">
        <f>(5.01*(B76^0.59)*Z$69)/(86.4*I$21)</f>
        <v>0.57668242319148233</v>
      </c>
      <c r="H76" s="42">
        <f t="shared" si="14"/>
        <v>60.217053221535274</v>
      </c>
      <c r="I76" s="42">
        <f t="shared" si="15"/>
        <v>5.4627678213776605</v>
      </c>
      <c r="J76" s="32">
        <v>2.4</v>
      </c>
      <c r="K76" s="56"/>
      <c r="L76" s="56"/>
      <c r="M76" s="22">
        <f t="shared" si="12"/>
        <v>-102.84938280276361</v>
      </c>
      <c r="N76" s="10">
        <f t="shared" si="13"/>
        <v>-0.9479205788273144</v>
      </c>
      <c r="O76" s="61"/>
      <c r="P76" s="62"/>
      <c r="Q76" s="89">
        <v>108.5</v>
      </c>
      <c r="R76" s="89"/>
      <c r="S76" s="53"/>
      <c r="T76" s="5"/>
      <c r="U76" s="5"/>
      <c r="V76" s="5"/>
    </row>
    <row r="77" spans="1:27" x14ac:dyDescent="0.25">
      <c r="A77" s="8" t="s">
        <v>10</v>
      </c>
      <c r="B77" s="31">
        <v>8.6999999999999993</v>
      </c>
      <c r="C77" s="95"/>
      <c r="D77" s="1">
        <v>1682</v>
      </c>
      <c r="E77" s="95"/>
      <c r="F77" s="95"/>
      <c r="G77" s="26">
        <f>(5.01*(B77^0.59)*Z$69)/(86.4*I$22)</f>
        <v>2.8865844988698779</v>
      </c>
      <c r="H77" s="42">
        <f t="shared" si="14"/>
        <v>257.7293583795128</v>
      </c>
      <c r="I77" s="42">
        <f t="shared" si="15"/>
        <v>5.2169348493024224</v>
      </c>
      <c r="J77" s="32">
        <v>3.9</v>
      </c>
      <c r="K77" s="56"/>
      <c r="L77" s="56"/>
      <c r="M77" s="22">
        <f t="shared" si="12"/>
        <v>-94.749382802763606</v>
      </c>
      <c r="N77" s="10">
        <f t="shared" si="13"/>
        <v>-0.84597663216753216</v>
      </c>
      <c r="O77" s="62"/>
      <c r="P77" s="59"/>
      <c r="Q77" s="89">
        <v>112</v>
      </c>
      <c r="R77" s="89"/>
      <c r="S77" s="53"/>
      <c r="T77" s="5"/>
      <c r="U77" s="5"/>
      <c r="V77" s="5"/>
    </row>
    <row r="78" spans="1:27" x14ac:dyDescent="0.25">
      <c r="A78" s="8" t="s">
        <v>11</v>
      </c>
      <c r="B78" s="31">
        <v>41.6</v>
      </c>
      <c r="C78" s="95"/>
      <c r="D78" s="1">
        <v>4933</v>
      </c>
      <c r="E78" s="95"/>
      <c r="F78" s="95"/>
      <c r="G78" s="26">
        <f>(5.01*(B78^0.59)*Z$69)/(86.4*I$23)</f>
        <v>7.032221506203749</v>
      </c>
      <c r="H78" s="42">
        <f t="shared" si="14"/>
        <v>221.26256267129025</v>
      </c>
      <c r="I78" s="42">
        <f t="shared" si="15"/>
        <v>4.4787771998642913</v>
      </c>
      <c r="J78" s="32">
        <v>3.9</v>
      </c>
      <c r="K78" s="56"/>
      <c r="L78" s="56"/>
      <c r="M78" s="22">
        <f t="shared" si="12"/>
        <v>-61.849382802763607</v>
      </c>
      <c r="N78" s="10">
        <f t="shared" si="13"/>
        <v>-0.50821185540479541</v>
      </c>
      <c r="O78" s="22"/>
      <c r="P78" s="22"/>
      <c r="Q78" s="89">
        <v>121.7</v>
      </c>
      <c r="R78" s="89"/>
      <c r="S78" s="53" t="s">
        <v>13</v>
      </c>
      <c r="T78" s="5" t="s">
        <v>14</v>
      </c>
      <c r="U78" s="5" t="s">
        <v>15</v>
      </c>
      <c r="V78" s="5"/>
    </row>
    <row r="79" spans="1:27" x14ac:dyDescent="0.25">
      <c r="A79" s="14" t="s">
        <v>12</v>
      </c>
      <c r="B79" s="22">
        <v>1984</v>
      </c>
      <c r="C79" s="22">
        <v>1984</v>
      </c>
      <c r="D79" s="22">
        <v>1984</v>
      </c>
      <c r="E79" s="22">
        <v>1984</v>
      </c>
      <c r="F79" s="22">
        <v>1984</v>
      </c>
      <c r="G79" s="22">
        <v>1984</v>
      </c>
      <c r="H79" s="22">
        <v>1984</v>
      </c>
      <c r="I79" s="22">
        <v>1984</v>
      </c>
      <c r="J79" s="47" t="s">
        <v>70</v>
      </c>
      <c r="K79" s="27"/>
      <c r="L79" s="27"/>
      <c r="M79" s="39" t="s">
        <v>60</v>
      </c>
      <c r="N79" s="39" t="s">
        <v>73</v>
      </c>
      <c r="O79" s="105" t="s">
        <v>57</v>
      </c>
      <c r="P79" s="105"/>
      <c r="Q79" s="10"/>
      <c r="R79" s="10"/>
      <c r="S79" s="12">
        <v>1984</v>
      </c>
      <c r="T79" s="12">
        <v>1984</v>
      </c>
      <c r="U79" s="12">
        <v>1984</v>
      </c>
      <c r="V79" s="5"/>
    </row>
    <row r="80" spans="1:27" x14ac:dyDescent="0.25">
      <c r="A80" s="8" t="s">
        <v>0</v>
      </c>
      <c r="B80" s="31">
        <v>11.1</v>
      </c>
      <c r="C80" s="10">
        <v>4.4000000000000003E-3</v>
      </c>
      <c r="D80" s="5">
        <v>3.03</v>
      </c>
      <c r="E80" s="16">
        <f>C80*(($Z$69^F$22)*((0.7*B80+0.29*B78+0.01*B77)^(F$18)))</f>
        <v>3.0296635991227951</v>
      </c>
      <c r="F80" s="16">
        <f>S80*(($Z$69^U$80)*(((0.7*B80)+(0.29*B78)+(0.01*B77))^(T$80)))</f>
        <v>1.6586261837552938</v>
      </c>
      <c r="G80" s="26">
        <f>(5.01*(B80^0.59)*Z$69)/(86.4*I$12)</f>
        <v>3.2252845368984082</v>
      </c>
      <c r="H80" s="80">
        <f>L$30^(J80-(0.6458446*LN(P$34))-(9.53942*N80*(P$34/P$33))+(4.8904*N80))</f>
        <v>6.5450991402942336</v>
      </c>
      <c r="I80" s="42">
        <f>L$30^(K$28-(0.6458446*LN(P$34))-(9.53942*N80*(P$34/P$33))+(4.8904*N80))</f>
        <v>4.8487286992985306</v>
      </c>
      <c r="J80" s="32">
        <v>0.3</v>
      </c>
      <c r="K80" s="56"/>
      <c r="L80" s="56"/>
      <c r="M80" s="22">
        <f>(B80-(0.74*P$81))</f>
        <v>-86.51685258548838</v>
      </c>
      <c r="N80" s="10">
        <f>M80/Q80</f>
        <v>-0.68392768842283302</v>
      </c>
      <c r="O80" s="50" t="s">
        <v>58</v>
      </c>
      <c r="P80" s="36">
        <f>(B80+B81+B82+B83+B84+B85+B86+B87+B88+B89+B90+B91)/12</f>
        <v>82.75833333333334</v>
      </c>
      <c r="Q80" s="89">
        <v>126.5</v>
      </c>
      <c r="R80" s="89"/>
      <c r="S80" s="10">
        <v>4.0270000000000002E-3</v>
      </c>
      <c r="T80" s="10">
        <v>0.48</v>
      </c>
      <c r="U80" s="10">
        <v>0.76</v>
      </c>
      <c r="V80" s="5"/>
    </row>
    <row r="81" spans="1:22" ht="18.75" x14ac:dyDescent="0.3">
      <c r="A81" s="8" t="s">
        <v>1</v>
      </c>
      <c r="B81" s="31">
        <v>385.6</v>
      </c>
      <c r="C81" s="10">
        <v>7.4000000000000003E-3</v>
      </c>
      <c r="D81" s="5">
        <v>22.748000000000001</v>
      </c>
      <c r="E81" s="16">
        <f>C81*(($Z$69^F$22)*((0.7*B81+0.29*B80+0.01*B78)^(F$18)))</f>
        <v>22.748064123483307</v>
      </c>
      <c r="F81" s="16">
        <f>S81*(($Z$69^U81)*(((0.7*B81)+(0.29*B80)+(0.01*B78))^(T81)))</f>
        <v>6.0402472427023399</v>
      </c>
      <c r="G81" s="26">
        <f>(5.01*(B81^0.59)*Z$69)/(86.4*J$13)</f>
        <v>27.964819323843596</v>
      </c>
      <c r="H81" s="80">
        <f>L$30^(J81-(0.6458446*LN(P$34))-(9.53942*N81*(P$34/P$33))+(4.8904*N81))</f>
        <v>11.998358078599955</v>
      </c>
      <c r="I81" s="42">
        <f>L$30^(K$28-(0.6458446*LN(P$34))-(9.53942*N81*(P$34/P$33))+(4.8904*N81))</f>
        <v>1.1442733579183229</v>
      </c>
      <c r="J81" s="32">
        <v>2.35</v>
      </c>
      <c r="K81" s="35" t="s">
        <v>92</v>
      </c>
      <c r="L81" s="56"/>
      <c r="M81" s="22">
        <f>(B81-(0.74*P$81))</f>
        <v>287.98314741451168</v>
      </c>
      <c r="N81" s="10">
        <f t="shared" ref="N81:N91" si="16">M81/Q81</f>
        <v>2.5129419495158087</v>
      </c>
      <c r="O81" s="50" t="s">
        <v>66</v>
      </c>
      <c r="P81" s="22">
        <f>((((B80-P80)^2+(B81-P80)^2+(B82-P80)^2+(B83-P80)^2+(B84-P80)^2+(B85-P80)^2+(B86-P80)^2+(B87-P80)^2+(B88-P80)^2+(B89-P80)^2+(B90-P80)^2+(B91-P80)^2))/(12-1))^0.5</f>
        <v>131.91466565606538</v>
      </c>
      <c r="Q81" s="89">
        <v>114.6</v>
      </c>
      <c r="R81" s="89"/>
      <c r="S81" s="10">
        <v>6.0060000000000001E-3</v>
      </c>
      <c r="T81" s="10">
        <v>0.45800000000000002</v>
      </c>
      <c r="U81" s="10">
        <v>0.72</v>
      </c>
      <c r="V81" s="5"/>
    </row>
    <row r="82" spans="1:22" x14ac:dyDescent="0.25">
      <c r="A82" s="8" t="s">
        <v>2</v>
      </c>
      <c r="B82" s="31">
        <v>307</v>
      </c>
      <c r="C82" s="10">
        <v>7.1000000000000004E-3</v>
      </c>
      <c r="D82" s="5">
        <v>24.16</v>
      </c>
      <c r="E82" s="16">
        <f t="shared" ref="E82:E91" si="17">C82*(($Z$69^F$22)*((0.7*B82+0.29*B81+0.01*B80)^(F$18)))</f>
        <v>24.160653744947812</v>
      </c>
      <c r="F82" s="16">
        <f t="shared" ref="F82:F91" si="18">S82*(($Z$69^U82)*(((0.7*B82)+(0.29*B81)+(0.01*B80))^(T82)))</f>
        <v>12.716847663282815</v>
      </c>
      <c r="G82" s="26">
        <f>(5.01*(B82^0.59)*Z$69)/(86.4*I$14)</f>
        <v>22.868575791894187</v>
      </c>
      <c r="H82" s="80">
        <f>L$30^(J82-(0.6458446*LN(P$34))-(9.53942*N82*(P$34/P$33))+(4.8904*N82))</f>
        <v>18.075346931975954</v>
      </c>
      <c r="I82" s="42">
        <f>L$30^(K$28-(0.6458446*LN(P$34))-(9.53942*N82*(P$34/P$33))+(4.8904*N82))</f>
        <v>1.7238306936580625</v>
      </c>
      <c r="J82" s="32">
        <v>2.35</v>
      </c>
      <c r="K82" s="56"/>
      <c r="L82" s="58"/>
      <c r="M82" s="22">
        <f t="shared" ref="M82:M91" si="19">(B82-(0.74*P$81))</f>
        <v>209.38314741451163</v>
      </c>
      <c r="N82" s="10">
        <f t="shared" si="16"/>
        <v>1.6056989832401198</v>
      </c>
      <c r="O82" s="22"/>
      <c r="P82" s="22"/>
      <c r="Q82" s="89">
        <v>130.4</v>
      </c>
      <c r="R82" s="89"/>
      <c r="S82" s="10">
        <v>6.9985000000000004E-3</v>
      </c>
      <c r="T82" s="10">
        <v>0.49399999999999999</v>
      </c>
      <c r="U82" s="10">
        <v>0.77</v>
      </c>
      <c r="V82" s="5"/>
    </row>
    <row r="83" spans="1:22" ht="18.75" x14ac:dyDescent="0.3">
      <c r="A83" s="8" t="s">
        <v>3</v>
      </c>
      <c r="B83" s="31">
        <v>130.1</v>
      </c>
      <c r="C83" s="10">
        <v>6.4000000000000003E-3</v>
      </c>
      <c r="D83" s="5">
        <v>15.683999999999999</v>
      </c>
      <c r="E83" s="16">
        <f t="shared" si="17"/>
        <v>15.684580668202518</v>
      </c>
      <c r="F83" s="16">
        <f t="shared" si="18"/>
        <v>6.8757923192263188</v>
      </c>
      <c r="G83" s="26">
        <f>(5.01*(B83^0.59)*Z$69)/(86.4*I$15)</f>
        <v>14.239394460274729</v>
      </c>
      <c r="H83" s="80">
        <f>L$30^(J83-(0.6458446*LN(P$34))-(9.53942*N83*(P$34/P$33))+(4.8904*N83))</f>
        <v>33.287424497976929</v>
      </c>
      <c r="I83" s="42">
        <f>L$30^(K$28-(0.6458446*LN(P$34))-(9.53942*N83*(P$34/P$33))+(4.8904*N83))</f>
        <v>3.1745937866856284</v>
      </c>
      <c r="J83" s="32">
        <v>2.35</v>
      </c>
      <c r="K83" s="35" t="s">
        <v>93</v>
      </c>
      <c r="L83" s="56"/>
      <c r="M83" s="22">
        <f t="shared" si="19"/>
        <v>32.48314741451162</v>
      </c>
      <c r="N83" s="10">
        <f t="shared" si="16"/>
        <v>0.25377458917587203</v>
      </c>
      <c r="O83" s="22"/>
      <c r="P83" s="22"/>
      <c r="Q83" s="89">
        <v>128</v>
      </c>
      <c r="R83" s="89"/>
      <c r="S83" s="10">
        <v>6.4270000000000004E-3</v>
      </c>
      <c r="T83" s="10">
        <v>0.47</v>
      </c>
      <c r="U83" s="10">
        <v>0.75</v>
      </c>
      <c r="V83" s="5"/>
    </row>
    <row r="84" spans="1:22" x14ac:dyDescent="0.25">
      <c r="A84" s="8" t="s">
        <v>4</v>
      </c>
      <c r="B84" s="31">
        <v>29.6</v>
      </c>
      <c r="C84" s="10">
        <v>5.1000000000000004E-3</v>
      </c>
      <c r="D84" s="5">
        <v>6.6859999999999999</v>
      </c>
      <c r="E84" s="16">
        <f t="shared" si="17"/>
        <v>6.6862622822780891</v>
      </c>
      <c r="F84" s="16">
        <f t="shared" si="18"/>
        <v>4.0334360740431174</v>
      </c>
      <c r="G84" s="26">
        <f>(5.01*(B84^0.59)*Z$69)/(86.4*I$16)</f>
        <v>5.7529365806998358</v>
      </c>
      <c r="H84" s="80">
        <f t="shared" ref="H84:H91" si="20">L$30^(J84-(0.6458446*LN(P$34))-(9.53942*N84*(P$34/P$33))+(4.8904*N84))</f>
        <v>47.863796420651383</v>
      </c>
      <c r="I84" s="42">
        <f t="shared" ref="I84:I91" si="21">L$30^(K$28-(0.6458446*LN(P$34))-(9.53942*N84*(P$34/P$33))+(4.8904*N84))</f>
        <v>4.5647301650934429</v>
      </c>
      <c r="J84" s="32">
        <v>2.35</v>
      </c>
      <c r="K84" s="56"/>
      <c r="L84" s="56"/>
      <c r="M84" s="22">
        <f t="shared" si="19"/>
        <v>-68.01685258548838</v>
      </c>
      <c r="N84" s="10">
        <f t="shared" si="16"/>
        <v>-0.5502981600767668</v>
      </c>
      <c r="O84" s="59"/>
      <c r="P84" s="59"/>
      <c r="Q84" s="89">
        <v>123.6</v>
      </c>
      <c r="R84" s="89"/>
      <c r="S84" s="10">
        <v>5.0930000000000003E-3</v>
      </c>
      <c r="T84" s="10">
        <v>0.5</v>
      </c>
      <c r="U84" s="10">
        <v>0.76500000000000001</v>
      </c>
      <c r="V84" s="5"/>
    </row>
    <row r="85" spans="1:22" ht="18.75" x14ac:dyDescent="0.3">
      <c r="A85" s="8" t="s">
        <v>5</v>
      </c>
      <c r="B85" s="31">
        <v>7.9</v>
      </c>
      <c r="C85" s="10">
        <v>4.1999999999999997E-3</v>
      </c>
      <c r="D85" s="5">
        <v>2.4980000000000002</v>
      </c>
      <c r="E85" s="16">
        <f t="shared" si="17"/>
        <v>2.4979737438055065</v>
      </c>
      <c r="F85" s="16">
        <f t="shared" si="18"/>
        <v>3.2249325024527731</v>
      </c>
      <c r="G85" s="26">
        <f>(5.01*(B85^0.59)*Z$69)/(86.4*I$17)</f>
        <v>2.726891762043016</v>
      </c>
      <c r="H85" s="80">
        <f>L$30^(J85-(0.6458446*LN(P$34))-(9.53942*N85*(P$34/P$33))+(4.8904*N85))</f>
        <v>36.229558196092199</v>
      </c>
      <c r="I85" s="42">
        <f t="shared" si="21"/>
        <v>5.1545267563389139</v>
      </c>
      <c r="J85" s="32">
        <v>1.95</v>
      </c>
      <c r="K85" s="35" t="s">
        <v>63</v>
      </c>
      <c r="L85" s="56"/>
      <c r="M85" s="22">
        <f>(B85-(0.74*P$81))</f>
        <v>-89.716852585488368</v>
      </c>
      <c r="N85" s="10">
        <f t="shared" si="16"/>
        <v>-0.81933198708208554</v>
      </c>
      <c r="O85" s="59"/>
      <c r="P85" s="59"/>
      <c r="Q85" s="89">
        <v>109.5</v>
      </c>
      <c r="R85" s="89"/>
      <c r="S85" s="10">
        <v>4.8459999999999996E-3</v>
      </c>
      <c r="T85" s="10">
        <v>0.53500000000000003</v>
      </c>
      <c r="U85" s="10">
        <v>0.83499999999999996</v>
      </c>
      <c r="V85" s="5"/>
    </row>
    <row r="86" spans="1:22" x14ac:dyDescent="0.25">
      <c r="A86" s="8" t="s">
        <v>6</v>
      </c>
      <c r="B86" s="31">
        <v>1.5</v>
      </c>
      <c r="C86" s="10">
        <v>4.0000000000000001E-3</v>
      </c>
      <c r="D86" s="5">
        <v>1.0429999999999999</v>
      </c>
      <c r="E86" s="16">
        <f t="shared" si="17"/>
        <v>1.0427933378549086</v>
      </c>
      <c r="F86" s="16">
        <f t="shared" si="18"/>
        <v>2.00758055245266</v>
      </c>
      <c r="G86" s="26">
        <f>(5.01*(B86^0.59)*Z$69)/(86.4*I$18)</f>
        <v>0.99019634694337466</v>
      </c>
      <c r="H86" s="80">
        <f t="shared" si="20"/>
        <v>17.837565871919463</v>
      </c>
      <c r="I86" s="42">
        <f t="shared" si="21"/>
        <v>5.3725715952251214</v>
      </c>
      <c r="J86" s="32">
        <v>1.2</v>
      </c>
      <c r="K86" s="56"/>
      <c r="L86" s="56"/>
      <c r="M86" s="22">
        <f t="shared" si="19"/>
        <v>-96.116852585488374</v>
      </c>
      <c r="N86" s="10">
        <f t="shared" si="16"/>
        <v>-0.91106021408045856</v>
      </c>
      <c r="O86" s="59"/>
      <c r="P86" s="59"/>
      <c r="Q86" s="89">
        <v>105.5</v>
      </c>
      <c r="R86" s="89"/>
      <c r="S86" s="10">
        <v>5.3010000000000002E-3</v>
      </c>
      <c r="T86" s="10">
        <v>0.57999999999999996</v>
      </c>
      <c r="U86" s="10">
        <v>0.86</v>
      </c>
      <c r="V86" s="5"/>
    </row>
    <row r="87" spans="1:22" x14ac:dyDescent="0.25">
      <c r="A87" s="8" t="s">
        <v>7</v>
      </c>
      <c r="B87" s="31">
        <v>3.8</v>
      </c>
      <c r="C87" s="10">
        <v>4.0000000000000001E-3</v>
      </c>
      <c r="D87" s="5">
        <v>0.96499999999999997</v>
      </c>
      <c r="E87" s="16">
        <f t="shared" si="17"/>
        <v>0.96477239985037766</v>
      </c>
      <c r="F87" s="16">
        <f t="shared" si="18"/>
        <v>0.49052964615577582</v>
      </c>
      <c r="G87" s="26">
        <f>(5.01*(B87^0.59)*Z$69)/(86.4*I$19)</f>
        <v>1.7135619064175267</v>
      </c>
      <c r="H87" s="80">
        <f t="shared" si="20"/>
        <v>9.2634902485851693</v>
      </c>
      <c r="I87" s="42">
        <f t="shared" si="21"/>
        <v>5.3445689423830434</v>
      </c>
      <c r="J87" s="32">
        <v>0.55000000000000004</v>
      </c>
      <c r="K87" s="56"/>
      <c r="L87" s="56"/>
      <c r="M87" s="22">
        <f t="shared" si="19"/>
        <v>-93.816852585488377</v>
      </c>
      <c r="N87" s="10">
        <f t="shared" si="16"/>
        <v>-0.89949043706125009</v>
      </c>
      <c r="O87" s="60"/>
      <c r="P87" s="59"/>
      <c r="Q87" s="89">
        <v>104.3</v>
      </c>
      <c r="R87" s="89"/>
      <c r="S87" s="10">
        <v>3.79E-3</v>
      </c>
      <c r="T87" s="10">
        <v>0.45</v>
      </c>
      <c r="U87" s="10">
        <v>0.72</v>
      </c>
      <c r="V87" s="5"/>
    </row>
    <row r="88" spans="1:22" x14ac:dyDescent="0.25">
      <c r="A88" s="8" t="s">
        <v>8</v>
      </c>
      <c r="B88" s="31">
        <v>2.2000000000000002</v>
      </c>
      <c r="C88" s="10">
        <v>4.0000000000000001E-3</v>
      </c>
      <c r="D88" s="5">
        <v>0.872</v>
      </c>
      <c r="E88" s="16">
        <f t="shared" si="17"/>
        <v>0.87161842445595761</v>
      </c>
      <c r="F88" s="16">
        <f t="shared" si="18"/>
        <v>0.33973196129333344</v>
      </c>
      <c r="G88" s="26">
        <f>(5.01*(B88^0.59)*Z$69)/(86.4*I$20)</f>
        <v>1.2826179034881051</v>
      </c>
      <c r="H88" s="80">
        <f t="shared" si="20"/>
        <v>9.4348337046596331</v>
      </c>
      <c r="I88" s="42">
        <f t="shared" si="21"/>
        <v>5.4434255168751537</v>
      </c>
      <c r="J88" s="32">
        <v>0.55000000000000004</v>
      </c>
      <c r="K88" s="56"/>
      <c r="L88" s="56"/>
      <c r="M88" s="22">
        <f t="shared" si="19"/>
        <v>-95.416852585488371</v>
      </c>
      <c r="N88" s="10">
        <f t="shared" si="16"/>
        <v>-0.94006751315752091</v>
      </c>
      <c r="O88" s="59"/>
      <c r="P88" s="59"/>
      <c r="Q88" s="89">
        <v>101.5</v>
      </c>
      <c r="R88" s="89"/>
      <c r="S88" s="10">
        <v>3.0500000000000002E-3</v>
      </c>
      <c r="T88" s="10">
        <v>0.44</v>
      </c>
      <c r="U88" s="10">
        <v>0.71</v>
      </c>
      <c r="V88" s="5"/>
    </row>
    <row r="89" spans="1:22" ht="18.75" x14ac:dyDescent="0.3">
      <c r="A89" s="8" t="s">
        <v>9</v>
      </c>
      <c r="B89" s="31">
        <v>1</v>
      </c>
      <c r="C89" s="10">
        <v>4.0000000000000001E-3</v>
      </c>
      <c r="D89" s="5">
        <v>0.59899999999999998</v>
      </c>
      <c r="E89" s="16">
        <f t="shared" si="17"/>
        <v>0.59857491844150801</v>
      </c>
      <c r="F89" s="16">
        <f t="shared" si="18"/>
        <v>0.41796217490771381</v>
      </c>
      <c r="G89" s="26">
        <f>(5.01*(B89^0.59)*Z$69)/(86.4*I$21)</f>
        <v>0.7795203853046595</v>
      </c>
      <c r="H89" s="80">
        <f t="shared" si="20"/>
        <v>17.672507026710672</v>
      </c>
      <c r="I89" s="42">
        <f t="shared" si="21"/>
        <v>5.3228568264233189</v>
      </c>
      <c r="J89" s="32">
        <v>1.2</v>
      </c>
      <c r="K89" s="56"/>
      <c r="L89" s="56"/>
      <c r="M89" s="22">
        <f t="shared" si="19"/>
        <v>-96.616852585488374</v>
      </c>
      <c r="N89" s="10">
        <f t="shared" si="16"/>
        <v>-0.89047790401371774</v>
      </c>
      <c r="O89" s="61"/>
      <c r="P89" s="62"/>
      <c r="Q89" s="89">
        <v>108.5</v>
      </c>
      <c r="R89" s="89"/>
      <c r="S89" s="10">
        <v>4.0800000000000003E-3</v>
      </c>
      <c r="T89" s="10">
        <v>0.48</v>
      </c>
      <c r="U89" s="10">
        <v>0.74199999999999999</v>
      </c>
      <c r="V89" s="5"/>
    </row>
    <row r="90" spans="1:22" x14ac:dyDescent="0.25">
      <c r="A90" s="8" t="s">
        <v>10</v>
      </c>
      <c r="B90" s="31">
        <v>0.8</v>
      </c>
      <c r="C90" s="10">
        <v>4.0000000000000001E-3</v>
      </c>
      <c r="D90" s="5">
        <v>0.46100000000000002</v>
      </c>
      <c r="E90" s="16">
        <f t="shared" si="17"/>
        <v>0.46129687330947627</v>
      </c>
      <c r="F90" s="16">
        <f t="shared" si="18"/>
        <v>0.38976613125859372</v>
      </c>
      <c r="G90" s="26">
        <f>(5.01*(B90^0.59)*Z$69)/(86.4*I$22)</f>
        <v>0.70614031730816851</v>
      </c>
      <c r="H90" s="80">
        <f t="shared" si="20"/>
        <v>36.975212565698897</v>
      </c>
      <c r="I90" s="42">
        <f t="shared" si="21"/>
        <v>5.2606140394991412</v>
      </c>
      <c r="J90" s="32">
        <v>1.95</v>
      </c>
      <c r="K90" s="56"/>
      <c r="L90" s="56"/>
      <c r="M90" s="22">
        <f t="shared" si="19"/>
        <v>-96.816852585488377</v>
      </c>
      <c r="N90" s="10">
        <f t="shared" si="16"/>
        <v>-0.86443618379900333</v>
      </c>
      <c r="O90" s="10"/>
      <c r="P90" s="22"/>
      <c r="Q90" s="89">
        <v>112</v>
      </c>
      <c r="R90" s="89"/>
      <c r="S90" s="10">
        <v>4.0000000000000001E-3</v>
      </c>
      <c r="T90" s="10">
        <v>0.48</v>
      </c>
      <c r="U90" s="10">
        <v>0.77</v>
      </c>
      <c r="V90" s="5"/>
    </row>
    <row r="91" spans="1:22" x14ac:dyDescent="0.25">
      <c r="A91" s="8" t="s">
        <v>11</v>
      </c>
      <c r="B91" s="31">
        <v>112.5</v>
      </c>
      <c r="C91" s="10">
        <v>6.3E-3</v>
      </c>
      <c r="D91" s="5">
        <v>9.5269999999999992</v>
      </c>
      <c r="E91" s="16">
        <f t="shared" si="17"/>
        <v>9.5271145988214645</v>
      </c>
      <c r="F91" s="16">
        <f t="shared" si="18"/>
        <v>0.96354939316255084</v>
      </c>
      <c r="G91" s="26">
        <f>(5.01*(B91^0.59)*Z$69)/(86.4*I$23)</f>
        <v>12.647580875076212</v>
      </c>
      <c r="H91" s="80">
        <f t="shared" si="20"/>
        <v>23.678473033761176</v>
      </c>
      <c r="I91" s="42">
        <f t="shared" si="21"/>
        <v>3.3688327674648866</v>
      </c>
      <c r="J91" s="32">
        <v>1.95</v>
      </c>
      <c r="K91" s="56"/>
      <c r="L91" s="56"/>
      <c r="M91" s="22">
        <f t="shared" si="19"/>
        <v>14.883147414511626</v>
      </c>
      <c r="N91" s="10">
        <f t="shared" si="16"/>
        <v>0.1222937338908104</v>
      </c>
      <c r="O91" s="22"/>
      <c r="P91" s="22"/>
      <c r="Q91" s="89">
        <v>121.7</v>
      </c>
      <c r="R91" s="89"/>
      <c r="S91" s="10">
        <v>2.4599999999999999E-3</v>
      </c>
      <c r="T91" s="10">
        <v>0.4</v>
      </c>
      <c r="U91" s="10">
        <v>0.7</v>
      </c>
      <c r="V91" s="5"/>
    </row>
    <row r="92" spans="1:22" x14ac:dyDescent="0.25">
      <c r="A92" s="8" t="s">
        <v>12</v>
      </c>
      <c r="B92" s="12">
        <v>1985</v>
      </c>
      <c r="C92" s="12">
        <v>1985</v>
      </c>
      <c r="D92" s="32">
        <v>1985</v>
      </c>
      <c r="E92" s="32">
        <v>1985</v>
      </c>
      <c r="F92" s="32">
        <v>1985</v>
      </c>
      <c r="G92" s="32">
        <v>1985</v>
      </c>
      <c r="H92" s="32">
        <v>1985</v>
      </c>
      <c r="I92" s="32">
        <v>1985</v>
      </c>
      <c r="J92" s="47" t="s">
        <v>70</v>
      </c>
      <c r="K92" s="27"/>
      <c r="L92" s="27"/>
      <c r="M92" s="39" t="s">
        <v>60</v>
      </c>
      <c r="N92" s="39" t="s">
        <v>73</v>
      </c>
      <c r="O92" s="105" t="s">
        <v>57</v>
      </c>
      <c r="P92" s="105"/>
      <c r="Q92" s="10"/>
      <c r="R92" s="10"/>
      <c r="S92" s="12">
        <v>1985</v>
      </c>
      <c r="T92" s="12">
        <v>1985</v>
      </c>
      <c r="U92" s="12">
        <v>1985</v>
      </c>
      <c r="V92" s="5"/>
    </row>
    <row r="93" spans="1:22" x14ac:dyDescent="0.25">
      <c r="A93" s="8" t="s">
        <v>0</v>
      </c>
      <c r="B93" s="31">
        <v>74.8</v>
      </c>
      <c r="C93" s="10">
        <v>5.8999999999999999E-3</v>
      </c>
      <c r="D93" s="1">
        <v>9303</v>
      </c>
      <c r="E93" s="16">
        <f>C93*(($Z$69^F$22)*((0.7*B93+0.29*B91+0.01*B90)^(F$18)))</f>
        <v>9.3032389843569412</v>
      </c>
      <c r="F93" s="16">
        <f>S93*(($Z$69^U$80)*(((0.7*B93)+(0.29*B91)+(0.01*B90))^(T$80)))</f>
        <v>2.4875278643147003</v>
      </c>
      <c r="G93" s="26">
        <f>(5.01*(B93^0.59)*Z$69)/(86.4*I$12)</f>
        <v>9.940985027395179</v>
      </c>
      <c r="H93" s="42">
        <f>L$30^(J93-(0.6458446*LN(P$34))-(9.53942*N93*(P$34/P$33))+(4.8904*N93))</f>
        <v>357.53137421742161</v>
      </c>
      <c r="I93" s="42">
        <f>L$30^(K$28-(0.6458446*LN(P$34))-(9.53942*N93*(P$34/P$33))+(4.8904*N93))</f>
        <v>3.2518469210577594</v>
      </c>
      <c r="J93" s="32">
        <v>4.7</v>
      </c>
      <c r="K93" s="56"/>
      <c r="L93" s="56"/>
      <c r="M93" s="22">
        <f>(B93-(0.74*P$94))</f>
        <v>25.36867642451557</v>
      </c>
      <c r="N93" s="10">
        <f>M93/Q93</f>
        <v>0.20054289663648672</v>
      </c>
      <c r="O93" s="50" t="s">
        <v>58</v>
      </c>
      <c r="P93" s="36">
        <f>(B93+B94+B95+B96+B97+B98+B99+B100+B101+B102+B103+B104)/12</f>
        <v>52.683333333333337</v>
      </c>
      <c r="Q93" s="89">
        <v>126.5</v>
      </c>
      <c r="R93" s="89"/>
      <c r="S93" s="10">
        <v>3.0100000000000001E-3</v>
      </c>
      <c r="T93" s="10">
        <v>0.4</v>
      </c>
      <c r="U93" s="10">
        <v>0.7</v>
      </c>
      <c r="V93" s="5"/>
    </row>
    <row r="94" spans="1:22" x14ac:dyDescent="0.25">
      <c r="A94" s="8" t="s">
        <v>1</v>
      </c>
      <c r="B94" s="31">
        <v>107.2</v>
      </c>
      <c r="C94" s="10">
        <v>6.3E-3</v>
      </c>
      <c r="D94" s="1">
        <v>10766</v>
      </c>
      <c r="E94" s="16">
        <f>C94*(($Z$69^F$22)*((0.7*B94+0.29*B93+0.01*B91)^(F$18)))</f>
        <v>10.766626265080083</v>
      </c>
      <c r="F94" s="16">
        <f>S94*(($Z$69^U94)*(((0.7*B94)+(0.29*B93)+(0.01*B91))^(T94)))</f>
        <v>1.9721045351590381</v>
      </c>
      <c r="G94" s="26">
        <f>(5.01*(B94^0.59)*Z$69)/(86.4*J$13)</f>
        <v>13.14032468134261</v>
      </c>
      <c r="H94" s="42">
        <f>L$30^(J94-(0.6458446*LN(P$34))-(9.53942*N94*(P$34/P$33))+(4.8904*N94))</f>
        <v>311.72412060173087</v>
      </c>
      <c r="I94" s="42">
        <f>L$30^(K$28-(0.6458446*LN(P$34))-(9.53942*N94*(P$34/P$33))+(4.8904*N94))</f>
        <v>2.8352172561553703</v>
      </c>
      <c r="J94" s="32">
        <v>4.7</v>
      </c>
      <c r="K94" s="56"/>
      <c r="L94" s="56"/>
      <c r="M94" s="22">
        <f>(B94-(0.74*P$94))</f>
        <v>57.768676424515576</v>
      </c>
      <c r="N94" s="10">
        <f t="shared" ref="N94:N104" si="22">M94/Q94</f>
        <v>0.50408967211619182</v>
      </c>
      <c r="O94" s="50" t="s">
        <v>66</v>
      </c>
      <c r="P94" s="22">
        <f>((((B93-P93)^2+(B94-P93)^2+(B95-P93)^2+(B96-P93)^2+(B97-P93)^2+(B98-P93)^2+(B99-P93)^2+(B100-P93)^2+(B101-P93)^2+(B102-P93)^2+(B103-P93)^2+(B104-P93)^2))/(12-1))^0.5</f>
        <v>66.799085912816793</v>
      </c>
      <c r="Q94" s="89">
        <v>114.6</v>
      </c>
      <c r="R94" s="89"/>
      <c r="S94" s="10">
        <v>2.9719999999999998E-3</v>
      </c>
      <c r="T94" s="10">
        <v>0.47</v>
      </c>
      <c r="U94" s="10">
        <v>0.72</v>
      </c>
      <c r="V94" s="5"/>
    </row>
    <row r="95" spans="1:22" x14ac:dyDescent="0.25">
      <c r="A95" s="8" t="s">
        <v>2</v>
      </c>
      <c r="B95" s="31">
        <v>187.1</v>
      </c>
      <c r="C95" s="10">
        <v>6.7000000000000002E-3</v>
      </c>
      <c r="D95" s="1">
        <v>15313</v>
      </c>
      <c r="E95" s="16">
        <f t="shared" ref="E95:E104" si="23">C95*(($Z$69^F$22)*((0.7*B95+0.29*B94+0.01*B93)^(F$18)))</f>
        <v>15.313485029270872</v>
      </c>
      <c r="F95" s="16">
        <f t="shared" ref="F95:F104" si="24">S95*(($Z$69^U95)*(((0.7*B95)+(0.29*B94)+(0.01*B93))^(T95)))</f>
        <v>3.7681831133520163</v>
      </c>
      <c r="G95" s="26">
        <f>(5.01*(B95^0.59)*Z$69)/(86.4*I$14)</f>
        <v>17.074618602068529</v>
      </c>
      <c r="H95" s="42">
        <f>L$30^(J95-(0.6458446*LN(P$34))-(9.53942*N95*(P$34/P$33))+(4.8904*N95))</f>
        <v>242.97320522148922</v>
      </c>
      <c r="I95" s="42">
        <f>L$30^(K$28-(0.6458446*LN(P$34))-(9.53942*N95*(P$34/P$33))+(4.8904*N95))</f>
        <v>2.2099086297767925</v>
      </c>
      <c r="J95" s="32">
        <v>4.7</v>
      </c>
      <c r="K95" s="56"/>
      <c r="L95" s="58"/>
      <c r="M95" s="22">
        <f t="shared" ref="M95:M102" si="25">(B95-(0.74*P$94))</f>
        <v>137.66867642451558</v>
      </c>
      <c r="N95" s="10">
        <f t="shared" si="22"/>
        <v>1.0557413836235856</v>
      </c>
      <c r="O95" s="22"/>
      <c r="P95" s="22"/>
      <c r="Q95" s="89">
        <v>130.4</v>
      </c>
      <c r="R95" s="89"/>
      <c r="S95" s="10">
        <v>6.3850000000000001E-3</v>
      </c>
      <c r="T95" s="10">
        <v>0.4</v>
      </c>
      <c r="U95" s="10">
        <v>0.72</v>
      </c>
      <c r="V95" s="5"/>
    </row>
    <row r="96" spans="1:22" x14ac:dyDescent="0.25">
      <c r="A96" s="8" t="s">
        <v>3</v>
      </c>
      <c r="B96" s="31">
        <v>164</v>
      </c>
      <c r="C96" s="10">
        <v>6.6E-3</v>
      </c>
      <c r="D96" s="1">
        <v>15469</v>
      </c>
      <c r="E96" s="16">
        <f t="shared" si="23"/>
        <v>15.468878356329309</v>
      </c>
      <c r="F96" s="16">
        <f t="shared" si="24"/>
        <v>2.5465411200600174</v>
      </c>
      <c r="G96" s="26">
        <f>(5.01*(B96^0.59)*Z$69)/(86.4*I$15)</f>
        <v>16.323969941656916</v>
      </c>
      <c r="H96" s="42">
        <f>L$30^(J96-(0.6458446*LN(P$34))-(9.53942*N96*(P$34/P$33))+(4.8904*N96))</f>
        <v>261.26192565342535</v>
      </c>
      <c r="I96" s="42">
        <f>L$30^(K$28-(0.6458446*LN(P$34))-(9.53942*N96*(P$34/P$33))+(4.8904*N96))</f>
        <v>2.3762496099407073</v>
      </c>
      <c r="J96" s="32">
        <v>4.7</v>
      </c>
      <c r="K96" s="56"/>
      <c r="L96" s="56"/>
      <c r="M96" s="22">
        <f t="shared" si="25"/>
        <v>114.56867642451557</v>
      </c>
      <c r="N96" s="10">
        <f t="shared" si="22"/>
        <v>0.89506778456652791</v>
      </c>
      <c r="O96" s="22"/>
      <c r="P96" s="22"/>
      <c r="Q96" s="89">
        <v>128</v>
      </c>
      <c r="R96" s="89"/>
      <c r="S96" s="10">
        <v>5.8219999999999999E-3</v>
      </c>
      <c r="T96" s="10">
        <v>0.35</v>
      </c>
      <c r="U96" s="10">
        <v>0.71</v>
      </c>
      <c r="V96" s="5"/>
    </row>
    <row r="97" spans="1:22" x14ac:dyDescent="0.25">
      <c r="A97" s="8" t="s">
        <v>4</v>
      </c>
      <c r="B97" s="31">
        <v>44.9</v>
      </c>
      <c r="C97" s="10">
        <v>5.4999999999999997E-3</v>
      </c>
      <c r="D97" s="1">
        <v>8429</v>
      </c>
      <c r="E97" s="16">
        <f t="shared" si="23"/>
        <v>8.4291488156769425</v>
      </c>
      <c r="F97" s="16">
        <f t="shared" si="24"/>
        <v>1.9017190226766407</v>
      </c>
      <c r="G97" s="26">
        <f>(5.01*(B97^0.59)*Z$69)/(86.4*I$16)</f>
        <v>7.3561879710275715</v>
      </c>
      <c r="H97" s="42">
        <f t="shared" ref="H97:H104" si="26">L$30^(J97-(0.6458446*LN(P$34))-(9.53942*N97*(P$34/P$33))+(4.8904*N97))</f>
        <v>397.9643082106719</v>
      </c>
      <c r="I97" s="42">
        <f t="shared" ref="I97:I104" si="27">L$30^(K$28-(0.6458446*LN(P$34))-(9.53942*N97*(P$34/P$33))+(4.8904*N97))</f>
        <v>3.6195956597609733</v>
      </c>
      <c r="J97" s="32">
        <v>4.7</v>
      </c>
      <c r="K97" s="56"/>
      <c r="L97" s="56"/>
      <c r="M97" s="22">
        <f t="shared" si="25"/>
        <v>-4.5313235754844285</v>
      </c>
      <c r="N97" s="10">
        <f t="shared" si="22"/>
        <v>-3.6661193976411238E-2</v>
      </c>
      <c r="O97" s="59"/>
      <c r="P97" s="59"/>
      <c r="Q97" s="89">
        <v>123.6</v>
      </c>
      <c r="R97" s="89"/>
      <c r="S97" s="10">
        <v>4.81E-3</v>
      </c>
      <c r="T97" s="10">
        <v>0.4</v>
      </c>
      <c r="U97" s="10">
        <v>0.7</v>
      </c>
      <c r="V97" s="5"/>
    </row>
    <row r="98" spans="1:22" x14ac:dyDescent="0.25">
      <c r="A98" s="8" t="s">
        <v>5</v>
      </c>
      <c r="B98" s="31">
        <v>23.9</v>
      </c>
      <c r="C98" s="10">
        <v>5.1000000000000004E-3</v>
      </c>
      <c r="D98" s="1">
        <v>4553</v>
      </c>
      <c r="E98" s="16">
        <f t="shared" si="23"/>
        <v>4.5530531047648317</v>
      </c>
      <c r="F98" s="16">
        <f t="shared" si="24"/>
        <v>1.1568017463102518</v>
      </c>
      <c r="G98" s="26">
        <f>(5.01*(B98^0.59)*Z$69)/(86.4*I$17)</f>
        <v>5.2398961243533222</v>
      </c>
      <c r="H98" s="42">
        <f t="shared" si="26"/>
        <v>195.41338018332246</v>
      </c>
      <c r="I98" s="42">
        <f t="shared" si="27"/>
        <v>3.9555403369963744</v>
      </c>
      <c r="J98" s="32">
        <v>3.9</v>
      </c>
      <c r="K98" s="56"/>
      <c r="L98" s="56"/>
      <c r="M98" s="22">
        <f t="shared" si="25"/>
        <v>-25.531323575484429</v>
      </c>
      <c r="N98" s="10">
        <f t="shared" si="22"/>
        <v>-0.23316277237885322</v>
      </c>
      <c r="O98" s="59"/>
      <c r="P98" s="59"/>
      <c r="Q98" s="89">
        <v>109.5</v>
      </c>
      <c r="R98" s="89"/>
      <c r="S98" s="10">
        <v>4.2719999999999998E-3</v>
      </c>
      <c r="T98" s="10">
        <v>0.4</v>
      </c>
      <c r="U98" s="10">
        <v>0.7</v>
      </c>
      <c r="V98" s="5"/>
    </row>
    <row r="99" spans="1:22" x14ac:dyDescent="0.25">
      <c r="A99" s="8" t="s">
        <v>6</v>
      </c>
      <c r="B99" s="31">
        <v>0.5</v>
      </c>
      <c r="C99" s="10">
        <v>4.0000000000000001E-3</v>
      </c>
      <c r="D99" s="1">
        <v>1604</v>
      </c>
      <c r="E99" s="16">
        <f t="shared" si="23"/>
        <v>1.6039851087355146</v>
      </c>
      <c r="F99" s="16">
        <f t="shared" si="24"/>
        <v>0.80337647243492638</v>
      </c>
      <c r="G99" s="26">
        <f>(5.01*(B99^0.59)*Z$69)/(86.4*I$18)</f>
        <v>0.5178688388766739</v>
      </c>
      <c r="H99" s="42">
        <f t="shared" si="26"/>
        <v>48.389949755703597</v>
      </c>
      <c r="I99" s="42">
        <f t="shared" si="27"/>
        <v>4.3898372016152223</v>
      </c>
      <c r="J99" s="32">
        <v>2.4</v>
      </c>
      <c r="K99" s="56"/>
      <c r="L99" s="56"/>
      <c r="M99" s="22">
        <f t="shared" si="25"/>
        <v>-48.931323575484427</v>
      </c>
      <c r="N99" s="10">
        <f t="shared" si="22"/>
        <v>-0.46380401493350165</v>
      </c>
      <c r="O99" s="59"/>
      <c r="P99" s="59"/>
      <c r="Q99" s="89">
        <v>105.5</v>
      </c>
      <c r="R99" s="89"/>
      <c r="S99" s="10">
        <v>4.0000000000000001E-3</v>
      </c>
      <c r="T99" s="10">
        <v>0.46899999999999997</v>
      </c>
      <c r="U99" s="10">
        <v>0.72</v>
      </c>
      <c r="V99" s="5"/>
    </row>
    <row r="100" spans="1:22" x14ac:dyDescent="0.25">
      <c r="A100" s="8" t="s">
        <v>7</v>
      </c>
      <c r="B100" s="31">
        <v>0.2</v>
      </c>
      <c r="C100" s="10">
        <v>4.0000000000000001E-3</v>
      </c>
      <c r="D100" s="10">
        <v>0.34499999999999997</v>
      </c>
      <c r="E100" s="16">
        <f t="shared" si="23"/>
        <v>0.34487318870373224</v>
      </c>
      <c r="F100" s="16">
        <f t="shared" si="24"/>
        <v>0.80264914336871884</v>
      </c>
      <c r="G100" s="26">
        <f>(5.01*(B100^0.59)*Z$69)/(86.4*I$19)</f>
        <v>0.30160266478526815</v>
      </c>
      <c r="H100" s="42">
        <f t="shared" si="26"/>
        <v>13.23680926888383</v>
      </c>
      <c r="I100" s="42">
        <f t="shared" si="27"/>
        <v>4.4061510460384303</v>
      </c>
      <c r="J100" s="32">
        <v>1.1000000000000001</v>
      </c>
      <c r="K100" s="56"/>
      <c r="L100" s="56"/>
      <c r="M100" s="22">
        <f t="shared" si="25"/>
        <v>-49.231323575484424</v>
      </c>
      <c r="N100" s="10">
        <f t="shared" si="22"/>
        <v>-0.47201652517242976</v>
      </c>
      <c r="O100" s="60"/>
      <c r="P100" s="59"/>
      <c r="Q100" s="89">
        <v>104.3</v>
      </c>
      <c r="R100" s="89"/>
      <c r="S100" s="10">
        <v>6.5620000000000001E-3</v>
      </c>
      <c r="T100" s="10">
        <v>0.59</v>
      </c>
      <c r="U100" s="10">
        <v>0.86</v>
      </c>
      <c r="V100" s="5"/>
    </row>
    <row r="101" spans="1:22" x14ac:dyDescent="0.25">
      <c r="A101" s="8" t="s">
        <v>8</v>
      </c>
      <c r="B101" s="31">
        <v>0.7</v>
      </c>
      <c r="C101" s="10">
        <v>4.0000000000000001E-3</v>
      </c>
      <c r="D101" s="10">
        <v>0.35599999999999998</v>
      </c>
      <c r="E101" s="16">
        <f t="shared" si="23"/>
        <v>0.35564760709667032</v>
      </c>
      <c r="F101" s="16">
        <f t="shared" si="24"/>
        <v>0.80254899994320161</v>
      </c>
      <c r="G101" s="26">
        <f>(5.01*(B101^0.59)*Z$69)/(86.4*I$20)</f>
        <v>0.65264311326710489</v>
      </c>
      <c r="H101" s="42">
        <f t="shared" si="26"/>
        <v>13.285295966532223</v>
      </c>
      <c r="I101" s="42">
        <f t="shared" si="27"/>
        <v>4.4222908656295923</v>
      </c>
      <c r="J101" s="32">
        <v>1.1000000000000001</v>
      </c>
      <c r="K101" s="56"/>
      <c r="L101" s="56"/>
      <c r="M101" s="22">
        <f t="shared" si="25"/>
        <v>-48.731323575484424</v>
      </c>
      <c r="N101" s="10">
        <f t="shared" si="22"/>
        <v>-0.48011156232004359</v>
      </c>
      <c r="O101" s="59"/>
      <c r="P101" s="59"/>
      <c r="Q101" s="89">
        <v>101.5</v>
      </c>
      <c r="R101" s="89"/>
      <c r="S101" s="10">
        <v>6.5700000000000003E-3</v>
      </c>
      <c r="T101" s="10">
        <v>0.59499999999999997</v>
      </c>
      <c r="U101" s="10">
        <v>0.85499999999999998</v>
      </c>
      <c r="V101" s="5"/>
    </row>
    <row r="102" spans="1:22" ht="18.75" x14ac:dyDescent="0.3">
      <c r="A102" s="8" t="s">
        <v>9</v>
      </c>
      <c r="B102" s="31">
        <v>0.4</v>
      </c>
      <c r="C102" s="10">
        <v>4.0000000000000001E-3</v>
      </c>
      <c r="D102" s="10">
        <v>0.33</v>
      </c>
      <c r="E102" s="16">
        <f t="shared" si="23"/>
        <v>0.3299712527401541</v>
      </c>
      <c r="F102" s="16">
        <f t="shared" si="24"/>
        <v>0.80338695247369118</v>
      </c>
      <c r="G102" s="26">
        <f>(5.01*(B102^0.59)*Z$69)/(86.4*I$21)</f>
        <v>0.45398643017853541</v>
      </c>
      <c r="H102" s="42">
        <f t="shared" si="26"/>
        <v>48.130502163230851</v>
      </c>
      <c r="I102" s="42">
        <f t="shared" si="27"/>
        <v>4.3663006470402292</v>
      </c>
      <c r="J102" s="32">
        <v>2.4</v>
      </c>
      <c r="K102" s="56"/>
      <c r="L102" s="56"/>
      <c r="M102" s="22">
        <f t="shared" si="25"/>
        <v>-49.031323575484429</v>
      </c>
      <c r="N102" s="10">
        <f t="shared" si="22"/>
        <v>-0.45190159977405003</v>
      </c>
      <c r="O102" s="61"/>
      <c r="P102" s="62"/>
      <c r="Q102" s="89">
        <v>108.5</v>
      </c>
      <c r="R102" s="89"/>
      <c r="S102" s="10">
        <v>6.535E-3</v>
      </c>
      <c r="T102" s="10">
        <v>0.59499999999999997</v>
      </c>
      <c r="U102" s="10">
        <v>0.86899999999999999</v>
      </c>
      <c r="V102" s="5"/>
    </row>
    <row r="103" spans="1:22" x14ac:dyDescent="0.25">
      <c r="A103" s="8" t="s">
        <v>10</v>
      </c>
      <c r="B103" s="31">
        <v>0</v>
      </c>
      <c r="C103" s="10">
        <v>8.2000000000000007E-3</v>
      </c>
      <c r="D103" s="10">
        <v>0.309</v>
      </c>
      <c r="E103" s="16">
        <f t="shared" si="23"/>
        <v>0.30898806915427568</v>
      </c>
      <c r="F103" s="16">
        <f t="shared" si="24"/>
        <v>0.80266972840625739</v>
      </c>
      <c r="G103" s="26">
        <f>(5.01*(B103^0.59)*Z$69)/(86.4*I$22)</f>
        <v>0</v>
      </c>
      <c r="H103" s="42">
        <f t="shared" si="26"/>
        <v>214.68046625268923</v>
      </c>
      <c r="I103" s="42">
        <f t="shared" si="27"/>
        <v>4.3455429870312132</v>
      </c>
      <c r="J103" s="32">
        <v>3.9</v>
      </c>
      <c r="K103" s="56"/>
      <c r="L103" s="56"/>
      <c r="M103" s="22">
        <f>(B103-(0.74*P$94))</f>
        <v>-49.431323575484427</v>
      </c>
      <c r="N103" s="10">
        <f t="shared" si="22"/>
        <v>-0.44135110335253952</v>
      </c>
      <c r="O103" s="62"/>
      <c r="P103" s="59"/>
      <c r="Q103" s="89">
        <v>112</v>
      </c>
      <c r="R103" s="89"/>
      <c r="S103" s="10">
        <v>1.477E-2</v>
      </c>
      <c r="T103" s="10">
        <v>0.59499999999999997</v>
      </c>
      <c r="U103" s="10">
        <v>0.86899999999999999</v>
      </c>
      <c r="V103" s="5"/>
    </row>
    <row r="104" spans="1:22" x14ac:dyDescent="0.25">
      <c r="A104" s="8" t="s">
        <v>11</v>
      </c>
      <c r="B104" s="31">
        <v>28.5</v>
      </c>
      <c r="C104" s="10">
        <v>5.1000000000000004E-3</v>
      </c>
      <c r="D104" s="1">
        <v>3515</v>
      </c>
      <c r="E104" s="16">
        <f t="shared" si="23"/>
        <v>3.514976622664753</v>
      </c>
      <c r="F104" s="16">
        <f t="shared" si="24"/>
        <v>1.1190055788452693</v>
      </c>
      <c r="G104" s="26">
        <f>(5.01*(B104^0.59)*Z$69)/(86.4*I$23)</f>
        <v>5.6258214469159391</v>
      </c>
      <c r="H104" s="42">
        <f t="shared" si="26"/>
        <v>190.08807372100551</v>
      </c>
      <c r="I104" s="42">
        <f t="shared" si="27"/>
        <v>3.8477459551643798</v>
      </c>
      <c r="J104" s="32">
        <v>3.9</v>
      </c>
      <c r="K104" s="56"/>
      <c r="L104" s="56"/>
      <c r="M104" s="22">
        <f>(B104-(0.74*P$94))</f>
        <v>-20.931323575484427</v>
      </c>
      <c r="N104" s="10">
        <f t="shared" si="22"/>
        <v>-0.17199115509847515</v>
      </c>
      <c r="O104" s="22"/>
      <c r="P104" s="22"/>
      <c r="Q104" s="89">
        <v>121.7</v>
      </c>
      <c r="R104" s="89"/>
      <c r="S104" s="10">
        <v>4.0159999999999996E-3</v>
      </c>
      <c r="T104" s="10">
        <v>0.45800000000000002</v>
      </c>
      <c r="U104" s="10">
        <v>0.70599999999999996</v>
      </c>
      <c r="V104" s="5"/>
    </row>
    <row r="105" spans="1:22" x14ac:dyDescent="0.25">
      <c r="A105" s="8" t="s">
        <v>12</v>
      </c>
      <c r="B105" s="12">
        <v>1986</v>
      </c>
      <c r="C105" s="12">
        <v>1986</v>
      </c>
      <c r="D105" s="32">
        <v>1986</v>
      </c>
      <c r="E105" s="32">
        <v>1986</v>
      </c>
      <c r="F105" s="32">
        <v>1986</v>
      </c>
      <c r="G105" s="32">
        <v>1986</v>
      </c>
      <c r="H105" s="32">
        <v>1986</v>
      </c>
      <c r="I105" s="32">
        <v>1986</v>
      </c>
      <c r="J105" s="47" t="s">
        <v>70</v>
      </c>
      <c r="K105" s="27"/>
      <c r="L105" s="27"/>
      <c r="M105" s="39" t="s">
        <v>60</v>
      </c>
      <c r="N105" s="39" t="s">
        <v>73</v>
      </c>
      <c r="O105" s="105" t="s">
        <v>57</v>
      </c>
      <c r="P105" s="105"/>
      <c r="Q105" s="10"/>
      <c r="R105" s="10"/>
      <c r="S105" s="12">
        <v>1986</v>
      </c>
      <c r="T105" s="12">
        <v>1986</v>
      </c>
      <c r="U105" s="12">
        <v>1986</v>
      </c>
      <c r="V105" s="5"/>
    </row>
    <row r="106" spans="1:22" x14ac:dyDescent="0.25">
      <c r="A106" s="8" t="s">
        <v>0</v>
      </c>
      <c r="B106" s="31">
        <v>361.1</v>
      </c>
      <c r="C106" s="10">
        <v>7.3000000000000001E-3</v>
      </c>
      <c r="D106" s="1">
        <v>21848</v>
      </c>
      <c r="E106" s="16">
        <f>C106*(($Z$69^F$22)*((0.7*B106+0.29*B104+0.01*B103)^(F$18)))</f>
        <v>21.84820834872351</v>
      </c>
      <c r="F106" s="16">
        <f>S106*(($Z$69^U$80)*(((0.7*B106)+(0.29*B104)+(0.01*B103))^(T$80)))</f>
        <v>7.8214627603683882</v>
      </c>
      <c r="G106" s="26">
        <f>(5.01*(B106^0.59)*Z$69)/(86.4*I$12)</f>
        <v>25.166782459874092</v>
      </c>
      <c r="H106" s="42">
        <f>L$30^(J106-(0.6458446*LN(P$34))-(9.53942*N106*(P$34/P$33))+(4.8904*N106))</f>
        <v>141.84414236558752</v>
      </c>
      <c r="I106" s="42">
        <f>L$30^(K$28-(0.6458446*LN(P$34))-(9.53942*N106*(P$34/P$33))+(4.8904*N106))</f>
        <v>1.2901117800674919</v>
      </c>
      <c r="J106" s="32">
        <v>4.7</v>
      </c>
      <c r="K106" s="56"/>
      <c r="L106" s="56"/>
      <c r="M106" s="22">
        <f>(B106-(0.74*P$107))</f>
        <v>284.29040367660019</v>
      </c>
      <c r="N106" s="10">
        <f>M106/Q106</f>
        <v>2.2473549697754955</v>
      </c>
      <c r="O106" s="50" t="s">
        <v>58</v>
      </c>
      <c r="P106" s="22">
        <f>(B106+B107+B108+B109+B110+B111+B112+B113+B114+B115+B116+B117)/12</f>
        <v>62.274999999999999</v>
      </c>
      <c r="Q106" s="89">
        <v>126.5</v>
      </c>
      <c r="R106" s="89"/>
      <c r="S106" s="10">
        <v>5.5230000000000001E-3</v>
      </c>
      <c r="T106" s="10">
        <v>0.4</v>
      </c>
      <c r="U106" s="10">
        <v>0.7</v>
      </c>
      <c r="V106" s="5"/>
    </row>
    <row r="107" spans="1:22" x14ac:dyDescent="0.25">
      <c r="A107" s="8" t="s">
        <v>1</v>
      </c>
      <c r="B107" s="31">
        <v>102.9</v>
      </c>
      <c r="C107" s="10">
        <v>6.3E-3</v>
      </c>
      <c r="D107" s="1">
        <v>15105</v>
      </c>
      <c r="E107" s="16">
        <f>C107*(($Z$69^F$22)*((0.7*B107+0.29*B106+0.01*B104)^(F$18)))</f>
        <v>15.104986835561641</v>
      </c>
      <c r="F107" s="16">
        <f>S107*(($Z$69^U107)*(((0.7*B107)+(0.29*B106)+(0.01*B104))^(T107)))</f>
        <v>2.1983230125640585</v>
      </c>
      <c r="G107" s="26">
        <f>(5.01*(B107^0.59)*Z$69)/(86.4*J$13)</f>
        <v>12.826738593537462</v>
      </c>
      <c r="H107" s="42">
        <f>L$30^(J107-(0.6458446*LN(P$34))-(9.53942*N107*(P$34/P$33))+(4.8904*N107))</f>
        <v>353.17820439054594</v>
      </c>
      <c r="I107" s="42">
        <f>L$30^(K$28-(0.6458446*LN(P$34))-(9.53942*N107*(P$34/P$33))+(4.8904*N107))</f>
        <v>3.2122536352115847</v>
      </c>
      <c r="J107" s="32">
        <v>4.7</v>
      </c>
      <c r="K107" s="56"/>
      <c r="L107" s="56"/>
      <c r="M107" s="22">
        <f>(B107-(0.74*P$107))</f>
        <v>26.090403676600175</v>
      </c>
      <c r="N107" s="10">
        <f t="shared" ref="N107:N117" si="28">M107/Q107</f>
        <v>0.22766495354799457</v>
      </c>
      <c r="O107" s="50" t="s">
        <v>66</v>
      </c>
      <c r="P107" s="22">
        <f>((((B106-P106)^2+(B107-P106)^2+(B108-P106)^2+(B109-P106)^2+(B110-P106)^2+(B111-P106)^2+(B112-P106)^2+(B113-P106)^2+(B114-P106)^2+(B115-P106)^2+(B116-P106)^2+(B117-P106)^2))/(12-1))^0.5</f>
        <v>103.79675178837816</v>
      </c>
      <c r="Q107" s="89">
        <v>114.6</v>
      </c>
      <c r="R107" s="89"/>
      <c r="S107" s="10">
        <v>4.28E-3</v>
      </c>
      <c r="T107" s="10">
        <v>0.39</v>
      </c>
      <c r="U107" s="10">
        <v>0.7</v>
      </c>
      <c r="V107" s="5"/>
    </row>
    <row r="108" spans="1:22" x14ac:dyDescent="0.25">
      <c r="A108" s="8" t="s">
        <v>2</v>
      </c>
      <c r="B108" s="31">
        <v>84.5</v>
      </c>
      <c r="C108" s="10">
        <v>6.0000000000000001E-3</v>
      </c>
      <c r="D108" s="1">
        <v>9936</v>
      </c>
      <c r="E108" s="16">
        <f t="shared" ref="E108:E117" si="29">C108*(($Z$69^F$22)*((0.7*B108+0.29*B107+0.01*B106)^(F$18)))</f>
        <v>9.935734041812518</v>
      </c>
      <c r="F108" s="16">
        <f t="shared" ref="F108:F117" si="30">S108*(($Z$69^U108)*(((0.7*B108)+(0.29*B107)+(0.01*B106))^(T108)))</f>
        <v>1.5306862079215706</v>
      </c>
      <c r="G108" s="26">
        <f>(5.01*(B108^0.59)*Z$69)/(86.4*I$14)</f>
        <v>10.682500829836647</v>
      </c>
      <c r="H108" s="42">
        <f>L$30^(J108-(0.6458446*LN(P$34))-(9.53942*N108*(P$34/P$33))+(4.8904*N108))</f>
        <v>381.13955943970603</v>
      </c>
      <c r="I108" s="42">
        <f>L$30^(K$28-(0.6458446*LN(P$34))-(9.53942*N108*(P$34/P$33))+(4.8904*N108))</f>
        <v>3.4665699075226128</v>
      </c>
      <c r="J108" s="32">
        <v>4.7</v>
      </c>
      <c r="K108" s="56"/>
      <c r="L108" s="58"/>
      <c r="M108" s="22">
        <f>(B108-(0.74*P$107))</f>
        <v>7.6904036766001695</v>
      </c>
      <c r="N108" s="10">
        <f t="shared" si="28"/>
        <v>5.8975488317485961E-2</v>
      </c>
      <c r="O108" s="22"/>
      <c r="P108" s="22"/>
      <c r="Q108" s="89">
        <v>130.4</v>
      </c>
      <c r="R108" s="89"/>
      <c r="S108" s="10">
        <v>4.5989999999999998E-3</v>
      </c>
      <c r="T108" s="10">
        <v>0.35</v>
      </c>
      <c r="U108" s="10">
        <v>0.7</v>
      </c>
      <c r="V108" s="5"/>
    </row>
    <row r="109" spans="1:22" x14ac:dyDescent="0.25">
      <c r="A109" s="8" t="s">
        <v>3</v>
      </c>
      <c r="B109" s="31">
        <v>125.7</v>
      </c>
      <c r="C109" s="10">
        <v>6.3E-3</v>
      </c>
      <c r="D109" s="1">
        <v>11719</v>
      </c>
      <c r="E109" s="16">
        <f t="shared" si="29"/>
        <v>11.719628012590464</v>
      </c>
      <c r="F109" s="16">
        <f t="shared" si="30"/>
        <v>3.2260989088095293</v>
      </c>
      <c r="G109" s="26">
        <f>(5.01*(B109^0.59)*Z$69)/(86.4*I$15)</f>
        <v>13.953261384811432</v>
      </c>
      <c r="H109" s="42">
        <f>L$30^(J109-(0.6458446*LN(P$34))-(9.53942*N109*(P$34/P$33))+(4.8904*N109))</f>
        <v>329.40341752683952</v>
      </c>
      <c r="I109" s="42">
        <f>L$30^(K$28-(0.6458446*LN(P$34))-(9.53942*N109*(P$34/P$33))+(4.8904*N109))</f>
        <v>2.9960153606524029</v>
      </c>
      <c r="J109" s="32">
        <v>4.7</v>
      </c>
      <c r="K109" s="56"/>
      <c r="L109" s="56"/>
      <c r="M109" s="22">
        <f t="shared" ref="M109:M117" si="31">(B109-(0.74*P$107))</f>
        <v>48.890403676600172</v>
      </c>
      <c r="N109" s="10">
        <f t="shared" si="28"/>
        <v>0.38195627872343885</v>
      </c>
      <c r="O109" s="22"/>
      <c r="P109" s="22"/>
      <c r="Q109" s="89">
        <v>128</v>
      </c>
      <c r="R109" s="89"/>
      <c r="S109" s="10">
        <v>5.2940000000000001E-3</v>
      </c>
      <c r="T109" s="10">
        <v>0.45</v>
      </c>
      <c r="U109" s="10">
        <v>0.71</v>
      </c>
      <c r="V109" s="5"/>
    </row>
    <row r="110" spans="1:22" x14ac:dyDescent="0.25">
      <c r="A110" s="8" t="s">
        <v>4</v>
      </c>
      <c r="B110" s="31">
        <v>21.5</v>
      </c>
      <c r="C110" s="10">
        <v>4.8999999999999998E-3</v>
      </c>
      <c r="D110" s="1">
        <v>5858</v>
      </c>
      <c r="E110" s="16">
        <f t="shared" si="29"/>
        <v>5.8582683625059424</v>
      </c>
      <c r="F110" s="16">
        <f t="shared" si="30"/>
        <v>1.6738966925474246</v>
      </c>
      <c r="G110" s="26">
        <f>(5.01*(B110^0.59)*Z$69)/(86.4*I$16)</f>
        <v>4.763938740972768</v>
      </c>
      <c r="H110" s="42">
        <f t="shared" ref="H110:H117" si="32">L$30^(J110-(0.6458446*LN(P$34))-(9.53942*N110*(P$34/P$33))+(4.8904*N110))</f>
        <v>479.10649179735725</v>
      </c>
      <c r="I110" s="42">
        <f t="shared" ref="I110:I117" si="33">L$30^(K$28-(0.6458446*LN(P$34))-(9.53942*N110*(P$34/P$33))+(4.8904*N110))</f>
        <v>4.3576063041185984</v>
      </c>
      <c r="J110" s="32">
        <v>4.7</v>
      </c>
      <c r="K110" s="56"/>
      <c r="L110" s="56"/>
      <c r="M110" s="22">
        <f t="shared" si="31"/>
        <v>-55.30959632339983</v>
      </c>
      <c r="N110" s="10">
        <f t="shared" si="28"/>
        <v>-0.44748864339320255</v>
      </c>
      <c r="O110" s="59"/>
      <c r="P110" s="59"/>
      <c r="Q110" s="89">
        <v>123.6</v>
      </c>
      <c r="R110" s="89"/>
      <c r="S110" s="10">
        <v>4.4739999999999997E-3</v>
      </c>
      <c r="T110" s="10">
        <v>0.43</v>
      </c>
      <c r="U110" s="10">
        <v>0.7</v>
      </c>
      <c r="V110" s="5"/>
    </row>
    <row r="111" spans="1:22" x14ac:dyDescent="0.25">
      <c r="A111" s="8" t="s">
        <v>5</v>
      </c>
      <c r="B111" s="31">
        <v>2.1</v>
      </c>
      <c r="C111" s="10">
        <v>4.0000000000000001E-3</v>
      </c>
      <c r="D111" s="1">
        <v>1745</v>
      </c>
      <c r="E111" s="16">
        <f t="shared" si="29"/>
        <v>1.7453403385769044</v>
      </c>
      <c r="F111" s="16">
        <f t="shared" si="30"/>
        <v>0.3245237076345322</v>
      </c>
      <c r="G111" s="26">
        <f>(5.01*(B111^0.59)*Z$69)/(86.4*I$17)</f>
        <v>1.2478928603169652</v>
      </c>
      <c r="H111" s="42">
        <f t="shared" si="32"/>
        <v>239.36080647462117</v>
      </c>
      <c r="I111" s="42">
        <f t="shared" si="33"/>
        <v>4.8451202482559221</v>
      </c>
      <c r="J111" s="32">
        <v>3.9</v>
      </c>
      <c r="K111" s="56"/>
      <c r="L111" s="56"/>
      <c r="M111" s="22">
        <f t="shared" si="31"/>
        <v>-74.709596323399836</v>
      </c>
      <c r="N111" s="10">
        <f t="shared" si="28"/>
        <v>-0.68227941847853735</v>
      </c>
      <c r="O111" s="59"/>
      <c r="P111" s="59"/>
      <c r="Q111" s="89">
        <v>109.5</v>
      </c>
      <c r="R111" s="89"/>
      <c r="S111" s="10">
        <v>2.2079999999999999E-3</v>
      </c>
      <c r="T111" s="10">
        <v>0.35</v>
      </c>
      <c r="U111" s="10">
        <v>0.7</v>
      </c>
      <c r="V111" s="5"/>
    </row>
    <row r="112" spans="1:22" x14ac:dyDescent="0.25">
      <c r="A112" s="8" t="s">
        <v>6</v>
      </c>
      <c r="B112" s="31">
        <v>16.3</v>
      </c>
      <c r="C112" s="10">
        <v>4.7999999999999996E-3</v>
      </c>
      <c r="D112" s="1">
        <v>2502</v>
      </c>
      <c r="E112" s="16">
        <f t="shared" si="29"/>
        <v>2.5018117028497704</v>
      </c>
      <c r="F112" s="16">
        <f t="shared" si="30"/>
        <v>0.32357962868592044</v>
      </c>
      <c r="G112" s="26">
        <f>(5.01*(B112^0.59)*Z$69)/(86.4*I$18)</f>
        <v>4.045928126716019</v>
      </c>
      <c r="H112" s="42">
        <f t="shared" si="32"/>
        <v>50.849077848694272</v>
      </c>
      <c r="I112" s="42">
        <f t="shared" si="33"/>
        <v>4.612924269087844</v>
      </c>
      <c r="J112" s="32">
        <v>2.4</v>
      </c>
      <c r="K112" s="56"/>
      <c r="L112" s="56"/>
      <c r="M112" s="22">
        <f t="shared" si="31"/>
        <v>-60.509596323399833</v>
      </c>
      <c r="N112" s="10">
        <f t="shared" si="28"/>
        <v>-0.57355067605118326</v>
      </c>
      <c r="O112" s="59"/>
      <c r="P112" s="59"/>
      <c r="Q112" s="89">
        <v>105.5</v>
      </c>
      <c r="R112" s="89"/>
      <c r="S112" s="10">
        <v>1.7420000000000001E-3</v>
      </c>
      <c r="T112" s="10">
        <v>0.4</v>
      </c>
      <c r="U112" s="10">
        <v>0.7</v>
      </c>
      <c r="V112" s="5"/>
    </row>
    <row r="113" spans="1:22" x14ac:dyDescent="0.25">
      <c r="A113" s="8" t="s">
        <v>7</v>
      </c>
      <c r="B113" s="31">
        <v>3.8</v>
      </c>
      <c r="C113" s="10">
        <v>4.0000000000000001E-3</v>
      </c>
      <c r="D113" s="1">
        <v>1565</v>
      </c>
      <c r="E113" s="16">
        <f t="shared" si="29"/>
        <v>1.5654783444397733</v>
      </c>
      <c r="F113" s="16">
        <f t="shared" si="30"/>
        <v>0.32441310946941937</v>
      </c>
      <c r="G113" s="26">
        <f>(5.01*(B113^0.59)*Z$69)/(86.4*I$19)</f>
        <v>1.7135619064175267</v>
      </c>
      <c r="H113" s="42">
        <f t="shared" si="32"/>
        <v>14.672489284551339</v>
      </c>
      <c r="I113" s="42">
        <f t="shared" si="33"/>
        <v>4.8840474086973833</v>
      </c>
      <c r="J113" s="32">
        <v>1.1000000000000001</v>
      </c>
      <c r="K113" s="56"/>
      <c r="L113" s="56"/>
      <c r="M113" s="22">
        <f t="shared" si="31"/>
        <v>-73.009596323399833</v>
      </c>
      <c r="N113" s="10">
        <f t="shared" si="28"/>
        <v>-0.6999961296586753</v>
      </c>
      <c r="O113" s="60"/>
      <c r="P113" s="59"/>
      <c r="Q113" s="89">
        <v>104.3</v>
      </c>
      <c r="R113" s="89"/>
      <c r="S113" s="10">
        <v>3.1900000000000001E-3</v>
      </c>
      <c r="T113" s="10">
        <v>0.35</v>
      </c>
      <c r="U113" s="10">
        <v>0.65</v>
      </c>
      <c r="V113" s="5"/>
    </row>
    <row r="114" spans="1:22" x14ac:dyDescent="0.25">
      <c r="A114" s="8" t="s">
        <v>8</v>
      </c>
      <c r="B114" s="31">
        <v>0.5</v>
      </c>
      <c r="C114" s="10">
        <v>4.0000000000000001E-3</v>
      </c>
      <c r="D114" s="10">
        <v>0.65600000000000003</v>
      </c>
      <c r="E114" s="16">
        <f t="shared" si="29"/>
        <v>0.65590592335489062</v>
      </c>
      <c r="F114" s="16">
        <f t="shared" si="30"/>
        <v>0.42988349527284941</v>
      </c>
      <c r="G114" s="26">
        <f>(5.01*(B114^0.59)*Z$69)/(86.4*I$20)</f>
        <v>0.53513113350589636</v>
      </c>
      <c r="H114" s="42">
        <f t="shared" si="32"/>
        <v>15.019978655781784</v>
      </c>
      <c r="I114" s="42">
        <f t="shared" si="33"/>
        <v>4.9997165722724324</v>
      </c>
      <c r="J114" s="32">
        <v>1.1000000000000001</v>
      </c>
      <c r="K114" s="56"/>
      <c r="L114" s="56"/>
      <c r="M114" s="22">
        <f t="shared" si="31"/>
        <v>-76.30959632339983</v>
      </c>
      <c r="N114" s="10">
        <f t="shared" si="28"/>
        <v>-0.75181868298916088</v>
      </c>
      <c r="O114" s="59"/>
      <c r="P114" s="59"/>
      <c r="Q114" s="89">
        <v>101.5</v>
      </c>
      <c r="R114" s="89"/>
      <c r="S114" s="10">
        <v>3.9899999999999996E-3</v>
      </c>
      <c r="T114" s="10">
        <v>0.45</v>
      </c>
      <c r="U114" s="10">
        <v>0.74</v>
      </c>
      <c r="V114" s="5"/>
    </row>
    <row r="115" spans="1:22" ht="18.75" x14ac:dyDescent="0.3">
      <c r="A115" s="8" t="s">
        <v>9</v>
      </c>
      <c r="B115" s="31">
        <v>13.6</v>
      </c>
      <c r="C115" s="10">
        <v>4.5999999999999999E-3</v>
      </c>
      <c r="D115" s="10">
        <v>2.1</v>
      </c>
      <c r="E115" s="16">
        <f t="shared" si="29"/>
        <v>2.1003026734333345</v>
      </c>
      <c r="F115" s="16">
        <f t="shared" si="30"/>
        <v>0.40294428525435794</v>
      </c>
      <c r="G115" s="26">
        <f>(5.01*(B115^0.59)*Z$69)/(86.4*I$21)</f>
        <v>3.6359293253777425</v>
      </c>
      <c r="H115" s="42">
        <f>L$30^(J115-(0.6458446*LN(P$34))-(9.53942*N115*(P$34/P$33))+(4.8904*N115))</f>
        <v>51.056809279501365</v>
      </c>
      <c r="I115" s="42">
        <f t="shared" si="33"/>
        <v>4.6317692393245506</v>
      </c>
      <c r="J115" s="32">
        <v>2.4</v>
      </c>
      <c r="K115" s="56"/>
      <c r="L115" s="56"/>
      <c r="M115" s="22">
        <f t="shared" si="31"/>
        <v>-63.209596323399829</v>
      </c>
      <c r="N115" s="10">
        <f t="shared" si="28"/>
        <v>-0.58257692463962973</v>
      </c>
      <c r="O115" s="61"/>
      <c r="P115" s="62"/>
      <c r="Q115" s="89">
        <v>108.5</v>
      </c>
      <c r="R115" s="89"/>
      <c r="S115" s="10">
        <v>2.3800000000000002E-3</v>
      </c>
      <c r="T115" s="10">
        <v>0.4</v>
      </c>
      <c r="U115" s="10">
        <v>0.7</v>
      </c>
      <c r="V115" s="5"/>
    </row>
    <row r="116" spans="1:22" x14ac:dyDescent="0.25">
      <c r="A116" s="8" t="s">
        <v>10</v>
      </c>
      <c r="B116" s="31">
        <v>1.4</v>
      </c>
      <c r="C116" s="10">
        <v>4.0000000000000001E-3</v>
      </c>
      <c r="D116" s="10">
        <v>1.24</v>
      </c>
      <c r="E116" s="16">
        <f t="shared" si="29"/>
        <v>1.2404910346978666</v>
      </c>
      <c r="F116" s="16">
        <f t="shared" si="30"/>
        <v>0.32427124943012647</v>
      </c>
      <c r="G116" s="26">
        <f>(5.01*(B116^0.59)*Z$69)/(86.4*I$22)</f>
        <v>0.9823889234655423</v>
      </c>
      <c r="H116" s="42">
        <f t="shared" si="32"/>
        <v>238.39197402260598</v>
      </c>
      <c r="I116" s="42">
        <f t="shared" si="33"/>
        <v>4.825509227556406</v>
      </c>
      <c r="J116" s="32">
        <v>3.9</v>
      </c>
      <c r="K116" s="56"/>
      <c r="L116" s="56"/>
      <c r="M116" s="22">
        <f t="shared" si="31"/>
        <v>-75.409596323399825</v>
      </c>
      <c r="N116" s="10">
        <f t="shared" si="28"/>
        <v>-0.67329996717321272</v>
      </c>
      <c r="O116" s="10"/>
      <c r="P116" s="22"/>
      <c r="Q116" s="89">
        <v>112</v>
      </c>
      <c r="R116" s="89"/>
      <c r="S116" s="10">
        <v>3.0200000000000001E-3</v>
      </c>
      <c r="T116" s="10">
        <v>0.36</v>
      </c>
      <c r="U116" s="10">
        <v>0.68</v>
      </c>
      <c r="V116" s="5"/>
    </row>
    <row r="117" spans="1:22" x14ac:dyDescent="0.25">
      <c r="A117" s="8" t="s">
        <v>11</v>
      </c>
      <c r="B117" s="31">
        <v>13.9</v>
      </c>
      <c r="C117" s="10">
        <v>4.4999999999999997E-3</v>
      </c>
      <c r="D117" s="1">
        <v>2123</v>
      </c>
      <c r="E117" s="16">
        <f t="shared" si="29"/>
        <v>2.1226136701429579</v>
      </c>
      <c r="F117" s="16">
        <f t="shared" si="30"/>
        <v>0.81895121346513611</v>
      </c>
      <c r="G117" s="26">
        <f>(5.01*(B117^0.59)*Z$69)/(86.4*I$23)</f>
        <v>3.6830380793281581</v>
      </c>
      <c r="H117" s="42">
        <f t="shared" si="32"/>
        <v>222.13491448308724</v>
      </c>
      <c r="I117" s="42">
        <f t="shared" si="33"/>
        <v>4.4964352679882724</v>
      </c>
      <c r="J117" s="32">
        <v>3.9</v>
      </c>
      <c r="K117" s="56"/>
      <c r="L117" s="56"/>
      <c r="M117" s="22">
        <f t="shared" si="31"/>
        <v>-62.909596323399832</v>
      </c>
      <c r="N117" s="10">
        <f t="shared" si="28"/>
        <v>-0.51692355236976029</v>
      </c>
      <c r="O117" s="22"/>
      <c r="P117" s="22"/>
      <c r="Q117" s="89">
        <v>121.7</v>
      </c>
      <c r="R117" s="89"/>
      <c r="S117" s="10">
        <v>4.0000000000000001E-3</v>
      </c>
      <c r="T117" s="10">
        <v>0.42</v>
      </c>
      <c r="U117" s="10">
        <v>0.72</v>
      </c>
      <c r="V117" s="5"/>
    </row>
    <row r="118" spans="1:22" x14ac:dyDescent="0.25">
      <c r="A118" s="8" t="s">
        <v>12</v>
      </c>
      <c r="B118" s="12">
        <v>1987</v>
      </c>
      <c r="C118" s="12">
        <v>1987</v>
      </c>
      <c r="D118" s="32">
        <v>1987</v>
      </c>
      <c r="E118" s="32">
        <v>1987</v>
      </c>
      <c r="F118" s="32">
        <v>1987</v>
      </c>
      <c r="G118" s="32">
        <v>1987</v>
      </c>
      <c r="H118" s="32">
        <v>1987</v>
      </c>
      <c r="I118" s="32">
        <v>1987</v>
      </c>
      <c r="J118" s="47" t="s">
        <v>70</v>
      </c>
      <c r="K118" s="27"/>
      <c r="L118" s="27"/>
      <c r="M118" s="39" t="s">
        <v>60</v>
      </c>
      <c r="N118" s="39" t="s">
        <v>73</v>
      </c>
      <c r="O118" s="105" t="s">
        <v>57</v>
      </c>
      <c r="P118" s="105"/>
      <c r="Q118" s="10"/>
      <c r="R118" s="10"/>
      <c r="S118" s="12">
        <v>1987</v>
      </c>
      <c r="T118" s="12">
        <v>1987</v>
      </c>
      <c r="U118" s="12">
        <v>1987</v>
      </c>
      <c r="V118" s="5"/>
    </row>
    <row r="119" spans="1:22" x14ac:dyDescent="0.25">
      <c r="A119" s="8" t="s">
        <v>0</v>
      </c>
      <c r="B119" s="31">
        <v>184.4</v>
      </c>
      <c r="C119" s="10">
        <v>6.7000000000000002E-3</v>
      </c>
      <c r="D119" s="10">
        <v>13.65</v>
      </c>
      <c r="E119" s="16">
        <f>C119*(($Z$69^F$22)*((0.7*B119+0.29*B117+0.01*B116)^(F$18)))</f>
        <v>13.650635323421014</v>
      </c>
      <c r="F119" s="16">
        <f>S119*(($Z$69^U$80)*(((0.7*B119)+(0.29*B117)+(0.01*B116))^(T$80)))</f>
        <v>5.85709672967696</v>
      </c>
      <c r="G119" s="26">
        <f>(5.01*(B119^0.59)*Z$69)/(86.4*I$12)</f>
        <v>16.928809496509576</v>
      </c>
      <c r="H119" s="42">
        <f>L$30^(J119-(0.6458446*LN(P$34))-(9.53942*N119*(P$34/P$33))+(4.8904*N119))</f>
        <v>289.0256217530453</v>
      </c>
      <c r="I119" s="42">
        <f>L$30^(K$28-(0.6458446*LN(P$34))-(9.53942*N119*(P$34/P$33))+(4.8904*N119))</f>
        <v>2.6287681193340382</v>
      </c>
      <c r="J119" s="32">
        <v>4.7</v>
      </c>
      <c r="K119" s="56"/>
      <c r="L119" s="56"/>
      <c r="M119" s="22">
        <f>(B119-(0.74*P$120))</f>
        <v>84.941426626230694</v>
      </c>
      <c r="N119" s="10">
        <f>M119/Q119</f>
        <v>0.67147372827059837</v>
      </c>
      <c r="O119" s="50" t="s">
        <v>58</v>
      </c>
      <c r="P119" s="22">
        <f>(B119+B120+B121+B122+B123+B124+B125+B126+B127+B128+B129+B130)/12</f>
        <v>107.02500000000002</v>
      </c>
      <c r="Q119" s="89">
        <v>126.5</v>
      </c>
      <c r="R119" s="89"/>
      <c r="S119" s="10">
        <v>5.7140000000000003E-3</v>
      </c>
      <c r="T119" s="10">
        <v>0.4</v>
      </c>
      <c r="U119" s="10">
        <v>0.7</v>
      </c>
      <c r="V119" s="5"/>
    </row>
    <row r="120" spans="1:22" x14ac:dyDescent="0.25">
      <c r="A120" s="8" t="s">
        <v>1</v>
      </c>
      <c r="B120" s="31">
        <v>402.6</v>
      </c>
      <c r="C120" s="10">
        <v>7.4999999999999997E-3</v>
      </c>
      <c r="D120" s="1">
        <v>25903</v>
      </c>
      <c r="E120" s="16">
        <f>C120*(($Z$69^F$22)*((0.7*B120+0.29*B119+0.01*B117)^(F$18)))</f>
        <v>25.903211574594366</v>
      </c>
      <c r="F120" s="16">
        <f>S120*(($Z$69^U120)*(((0.7*B120)+(0.29*B119)+(0.01*B117))^(T120)))</f>
        <v>5.680075408279178</v>
      </c>
      <c r="G120" s="26">
        <f>(5.01*(B120^0.59)*Z$69)/(86.4*J$13)</f>
        <v>28.68578225577556</v>
      </c>
      <c r="H120" s="42">
        <f>L$30^(J120-(0.6458446*LN(P$34))-(9.53942*N120*(P$34/P$33))+(4.8904*N120))</f>
        <v>118.51341893760565</v>
      </c>
      <c r="I120" s="42">
        <f>L$30^(K$28-(0.6458446*LN(P$34))-(9.53942*N120*(P$34/P$33))+(4.8904*N120))</f>
        <v>1.0779123855069579</v>
      </c>
      <c r="J120" s="32">
        <v>4.7</v>
      </c>
      <c r="K120" s="56"/>
      <c r="L120" s="56"/>
      <c r="M120" s="22">
        <f t="shared" ref="M120:M130" si="34">(B120-(0.74*P$120))</f>
        <v>303.14142662623073</v>
      </c>
      <c r="N120" s="10">
        <f t="shared" ref="N120:N130" si="35">M120/Q120</f>
        <v>2.645213146825748</v>
      </c>
      <c r="O120" s="50" t="s">
        <v>66</v>
      </c>
      <c r="P120" s="22">
        <f>((((B119-P119)^2+(B120-P119)^2+(B121-P119)^2+(B122-P119)^2+(B123-P119)^2+(B124-P119)^2+(B125-P119)^2+(B126-P119)^2+(B127-P119)^2+(B128-P119)^2+(B129-P119)^2+(B130-P119)^2))/(12-1))^0.5</f>
        <v>134.40347753212069</v>
      </c>
      <c r="Q120" s="89">
        <v>114.6</v>
      </c>
      <c r="R120" s="89"/>
      <c r="S120" s="10">
        <v>6.9909999999999998E-3</v>
      </c>
      <c r="T120" s="10">
        <v>0.42599999999999999</v>
      </c>
      <c r="U120" s="10">
        <v>0.7</v>
      </c>
      <c r="V120" s="5"/>
    </row>
    <row r="121" spans="1:22" x14ac:dyDescent="0.25">
      <c r="A121" s="8" t="s">
        <v>2</v>
      </c>
      <c r="B121" s="31">
        <v>231.3</v>
      </c>
      <c r="C121" s="10">
        <v>6.8999999999999999E-3</v>
      </c>
      <c r="D121" s="1">
        <v>21517</v>
      </c>
      <c r="E121" s="16">
        <f t="shared" ref="E121:E130" si="36">C121*(($Z$69^F$22)*((0.7*B121+0.29*B120+0.01*B119)^(F$18)))</f>
        <v>21.517274157091737</v>
      </c>
      <c r="F121" s="16">
        <f t="shared" ref="F121:F130" si="37">S121*(($Z$69^U121)*(((0.7*B121)+(0.29*B120)+(0.01*B119))^(T121)))</f>
        <v>10.416580366230722</v>
      </c>
      <c r="G121" s="26">
        <f>(5.01*(B121^0.59)*Z$69)/(86.4*I$14)</f>
        <v>19.350451388867015</v>
      </c>
      <c r="H121" s="42">
        <f>L$30^(J121-(0.6458446*LN(P$34))-(9.53942*N121*(P$34/P$33))+(4.8904*N121))</f>
        <v>247.92726218007309</v>
      </c>
      <c r="I121" s="42">
        <f>L$30^(K$28-(0.6458446*LN(P$34))-(9.53942*N121*(P$34/P$33))+(4.8904*N121))</f>
        <v>2.254967150592698</v>
      </c>
      <c r="J121" s="32">
        <v>4.7</v>
      </c>
      <c r="K121" s="56"/>
      <c r="L121" s="58"/>
      <c r="M121" s="22">
        <f t="shared" si="34"/>
        <v>131.84142662623071</v>
      </c>
      <c r="N121" s="10">
        <f t="shared" si="35"/>
        <v>1.0110538851704809</v>
      </c>
      <c r="O121" s="22"/>
      <c r="P121" s="22"/>
      <c r="Q121" s="89">
        <v>130.4</v>
      </c>
      <c r="R121" s="89"/>
      <c r="S121" s="10">
        <v>7.1339999999999997E-3</v>
      </c>
      <c r="T121" s="10">
        <v>0.49</v>
      </c>
      <c r="U121" s="10">
        <v>0.75</v>
      </c>
      <c r="V121" s="5"/>
    </row>
    <row r="122" spans="1:22" x14ac:dyDescent="0.25">
      <c r="A122" s="8" t="s">
        <v>3</v>
      </c>
      <c r="B122" s="31">
        <v>267.7</v>
      </c>
      <c r="C122" s="10">
        <v>7.0000000000000001E-3</v>
      </c>
      <c r="D122" s="1">
        <v>20833</v>
      </c>
      <c r="E122" s="16">
        <f t="shared" si="36"/>
        <v>20.833575776680945</v>
      </c>
      <c r="F122" s="16">
        <f t="shared" si="37"/>
        <v>7.7210278076351928</v>
      </c>
      <c r="G122" s="26">
        <f>(5.01*(B122^0.59)*Z$69)/(86.4*I$15)</f>
        <v>21.796183476368835</v>
      </c>
      <c r="H122" s="42">
        <f>L$30^(J122-(0.6458446*LN(P$34))-(9.53942*N122*(P$34/P$33))+(4.8904*N122))</f>
        <v>216.18353503390065</v>
      </c>
      <c r="I122" s="42">
        <f>L$30^(K$28-(0.6458446*LN(P$34))-(9.53942*N122*(P$34/P$33))+(4.8904*N122))</f>
        <v>1.9662491559576174</v>
      </c>
      <c r="J122" s="32">
        <v>4.7</v>
      </c>
      <c r="K122" s="56"/>
      <c r="L122" s="56"/>
      <c r="M122" s="22">
        <f t="shared" si="34"/>
        <v>168.24142662623069</v>
      </c>
      <c r="N122" s="10">
        <f t="shared" si="35"/>
        <v>1.3143861455174273</v>
      </c>
      <c r="O122" s="59"/>
      <c r="P122" s="59"/>
      <c r="Q122" s="89">
        <v>128</v>
      </c>
      <c r="R122" s="89"/>
      <c r="S122" s="10">
        <v>6.5230000000000002E-3</v>
      </c>
      <c r="T122" s="10">
        <v>0.49199999999999999</v>
      </c>
      <c r="U122" s="10">
        <v>0.72</v>
      </c>
      <c r="V122" s="5"/>
    </row>
    <row r="123" spans="1:22" x14ac:dyDescent="0.25">
      <c r="A123" s="8" t="s">
        <v>4</v>
      </c>
      <c r="B123" s="31">
        <v>113.7</v>
      </c>
      <c r="C123" s="10">
        <v>6.3E-3</v>
      </c>
      <c r="D123" s="1">
        <v>14233</v>
      </c>
      <c r="E123" s="16">
        <f t="shared" si="36"/>
        <v>14.233356622076284</v>
      </c>
      <c r="F123" s="16">
        <f t="shared" si="37"/>
        <v>9.0595981463496802</v>
      </c>
      <c r="G123" s="26">
        <f>(5.01*(B123^0.59)*Z$69)/(86.4*I$16)</f>
        <v>12.727003135679794</v>
      </c>
      <c r="H123" s="42">
        <f t="shared" ref="H123:H130" si="38">L$30^(J123-(0.6458446*LN(P$34))-(9.53942*N123*(P$34/P$33))+(4.8904*N123))</f>
        <v>371.57863004475286</v>
      </c>
      <c r="I123" s="42">
        <f t="shared" ref="I123:I130" si="39">L$30^(K$28-(0.6458446*LN(P$34))-(9.53942*N123*(P$34/P$33))+(4.8904*N123))</f>
        <v>3.3796106053257589</v>
      </c>
      <c r="J123" s="32">
        <v>4.7</v>
      </c>
      <c r="K123" s="56"/>
      <c r="L123" s="56"/>
      <c r="M123" s="22">
        <f t="shared" si="34"/>
        <v>14.241426626230691</v>
      </c>
      <c r="N123" s="10">
        <f t="shared" si="35"/>
        <v>0.11522189827047485</v>
      </c>
      <c r="O123" s="59"/>
      <c r="P123" s="59"/>
      <c r="Q123" s="89">
        <v>123.6</v>
      </c>
      <c r="R123" s="89"/>
      <c r="S123" s="10">
        <v>6.2963000000000003E-3</v>
      </c>
      <c r="T123" s="10">
        <v>0.5</v>
      </c>
      <c r="U123" s="10">
        <v>0.78500000000000003</v>
      </c>
      <c r="V123" s="5"/>
    </row>
    <row r="124" spans="1:22" x14ac:dyDescent="0.25">
      <c r="A124" s="8" t="s">
        <v>5</v>
      </c>
      <c r="B124" s="31">
        <v>4.7</v>
      </c>
      <c r="C124" s="10">
        <v>4.0000000000000001E-3</v>
      </c>
      <c r="D124" s="1">
        <v>4039</v>
      </c>
      <c r="E124" s="16">
        <f t="shared" si="36"/>
        <v>4.0387146581958451</v>
      </c>
      <c r="F124" s="16">
        <f t="shared" si="37"/>
        <v>1.6892457694686807</v>
      </c>
      <c r="G124" s="26">
        <f>(5.01*(B124^0.59)*Z$69)/(86.4*I$17)</f>
        <v>2.0072693456203736</v>
      </c>
      <c r="H124" s="42">
        <f t="shared" si="38"/>
        <v>259.99745495475111</v>
      </c>
      <c r="I124" s="42">
        <f t="shared" si="39"/>
        <v>5.2628454593289309</v>
      </c>
      <c r="J124" s="32">
        <v>3.9</v>
      </c>
      <c r="K124" s="56"/>
      <c r="L124" s="56"/>
      <c r="M124" s="22">
        <f t="shared" si="34"/>
        <v>-94.758573373769309</v>
      </c>
      <c r="N124" s="10">
        <f t="shared" si="35"/>
        <v>-0.86537509930382928</v>
      </c>
      <c r="O124" s="59"/>
      <c r="P124" s="59"/>
      <c r="Q124" s="89">
        <v>109.5</v>
      </c>
      <c r="R124" s="89"/>
      <c r="S124" s="10">
        <v>4.0720000000000001E-3</v>
      </c>
      <c r="T124" s="10">
        <v>0.46</v>
      </c>
      <c r="U124" s="10">
        <v>0.72</v>
      </c>
      <c r="V124" s="5"/>
    </row>
    <row r="125" spans="1:22" x14ac:dyDescent="0.25">
      <c r="A125" s="8" t="s">
        <v>6</v>
      </c>
      <c r="B125" s="31">
        <v>3.4</v>
      </c>
      <c r="C125" s="10">
        <v>4.0000000000000001E-3</v>
      </c>
      <c r="D125" s="1">
        <v>1233</v>
      </c>
      <c r="E125" s="16">
        <f t="shared" si="36"/>
        <v>1.233433062955245</v>
      </c>
      <c r="F125" s="16">
        <f t="shared" si="37"/>
        <v>0.99656038387264645</v>
      </c>
      <c r="G125" s="26">
        <f>(5.01*(B125^0.59)*Z$69)/(86.4*I$18)</f>
        <v>1.604722854905996</v>
      </c>
      <c r="H125" s="42">
        <f t="shared" si="38"/>
        <v>59.208029490251327</v>
      </c>
      <c r="I125" s="42">
        <f t="shared" si="39"/>
        <v>5.3712312536551199</v>
      </c>
      <c r="J125" s="32">
        <v>2.4</v>
      </c>
      <c r="K125" s="56"/>
      <c r="L125" s="56"/>
      <c r="M125" s="22">
        <f t="shared" si="34"/>
        <v>-96.058573373769306</v>
      </c>
      <c r="N125" s="10">
        <f t="shared" si="35"/>
        <v>-0.91050780449070434</v>
      </c>
      <c r="O125" s="59"/>
      <c r="P125" s="59"/>
      <c r="Q125" s="89">
        <v>105.5</v>
      </c>
      <c r="R125" s="89"/>
      <c r="S125" s="10">
        <v>4.0400000000000002E-3</v>
      </c>
      <c r="T125" s="10">
        <v>0.495</v>
      </c>
      <c r="U125" s="10">
        <v>0.78300000000000003</v>
      </c>
      <c r="V125" s="5"/>
    </row>
    <row r="126" spans="1:22" x14ac:dyDescent="0.25">
      <c r="A126" s="8" t="s">
        <v>7</v>
      </c>
      <c r="B126" s="31">
        <v>34.200000000000003</v>
      </c>
      <c r="C126" s="10">
        <v>5.4000000000000003E-3</v>
      </c>
      <c r="D126" s="10">
        <v>4.2300000000000004</v>
      </c>
      <c r="E126" s="16">
        <f t="shared" si="36"/>
        <v>4.2305361554815644</v>
      </c>
      <c r="F126" s="16">
        <f t="shared" si="37"/>
        <v>0.96380957523088318</v>
      </c>
      <c r="G126" s="26">
        <f>(5.01*(B126^0.59)*Z$69)/(86.4*I$19)</f>
        <v>6.2647375182631917</v>
      </c>
      <c r="H126" s="42">
        <f t="shared" si="38"/>
        <v>14.188164870802998</v>
      </c>
      <c r="I126" s="42">
        <f t="shared" si="39"/>
        <v>4.722829816231525</v>
      </c>
      <c r="J126" s="32">
        <v>1.1000000000000001</v>
      </c>
      <c r="K126" s="56"/>
      <c r="L126" s="56"/>
      <c r="M126" s="22">
        <f t="shared" si="34"/>
        <v>-65.258573373769309</v>
      </c>
      <c r="N126" s="10">
        <f t="shared" si="35"/>
        <v>-0.62568143215502692</v>
      </c>
      <c r="O126" s="60"/>
      <c r="P126" s="59"/>
      <c r="Q126" s="89">
        <v>104.3</v>
      </c>
      <c r="R126" s="89"/>
      <c r="S126" s="10">
        <v>4.0020000000000003E-3</v>
      </c>
      <c r="T126" s="10">
        <v>0.39200000000000002</v>
      </c>
      <c r="U126" s="10">
        <v>0.7</v>
      </c>
      <c r="V126" s="5"/>
    </row>
    <row r="127" spans="1:22" x14ac:dyDescent="0.25">
      <c r="A127" s="8" t="s">
        <v>8</v>
      </c>
      <c r="B127" s="31">
        <v>2.8</v>
      </c>
      <c r="C127" s="10">
        <v>4.0000000000000001E-3</v>
      </c>
      <c r="D127" s="1">
        <v>2053</v>
      </c>
      <c r="E127" s="16">
        <f t="shared" si="36"/>
        <v>2.0533252820844115</v>
      </c>
      <c r="F127" s="16">
        <f t="shared" si="37"/>
        <v>0.60647575658133324</v>
      </c>
      <c r="G127" s="26">
        <f>(5.01*(B127^0.59)*Z$69)/(86.4*I$20)</f>
        <v>1.4787377317391672</v>
      </c>
      <c r="H127" s="42">
        <f t="shared" si="38"/>
        <v>16.443564966856563</v>
      </c>
      <c r="I127" s="42">
        <f t="shared" si="39"/>
        <v>5.4735872903776714</v>
      </c>
      <c r="J127" s="32">
        <v>1.1000000000000001</v>
      </c>
      <c r="K127" s="56"/>
      <c r="L127" s="56"/>
      <c r="M127" s="22">
        <f t="shared" si="34"/>
        <v>-96.658573373769315</v>
      </c>
      <c r="N127" s="10">
        <f t="shared" si="35"/>
        <v>-0.95230121550511637</v>
      </c>
      <c r="O127" s="59"/>
      <c r="P127" s="59"/>
      <c r="Q127" s="89">
        <v>101.5</v>
      </c>
      <c r="R127" s="89"/>
      <c r="S127" s="10">
        <v>3.3E-3</v>
      </c>
      <c r="T127" s="10">
        <v>0.4</v>
      </c>
      <c r="U127" s="10">
        <v>0.7</v>
      </c>
      <c r="V127" s="5"/>
    </row>
    <row r="128" spans="1:22" ht="18.75" x14ac:dyDescent="0.3">
      <c r="A128" s="8" t="s">
        <v>9</v>
      </c>
      <c r="B128" s="31">
        <v>6.3</v>
      </c>
      <c r="C128" s="10">
        <v>4.0000000000000001E-3</v>
      </c>
      <c r="D128" s="1">
        <v>1329</v>
      </c>
      <c r="E128" s="16">
        <f t="shared" si="36"/>
        <v>1.3293831816212376</v>
      </c>
      <c r="F128" s="16">
        <f t="shared" si="37"/>
        <v>0.69165185161740173</v>
      </c>
      <c r="G128" s="26">
        <f>(5.01*(B128^0.59)*Z$69)/(86.4*I$21)</f>
        <v>2.3090769239442173</v>
      </c>
      <c r="H128" s="42">
        <f t="shared" si="38"/>
        <v>57.836130098940529</v>
      </c>
      <c r="I128" s="42">
        <f t="shared" si="39"/>
        <v>5.2467753487564144</v>
      </c>
      <c r="J128" s="32">
        <v>2.4</v>
      </c>
      <c r="K128" s="56"/>
      <c r="L128" s="56"/>
      <c r="M128" s="22">
        <f t="shared" si="34"/>
        <v>-93.158573373769315</v>
      </c>
      <c r="N128" s="10">
        <f t="shared" si="35"/>
        <v>-0.85860436289188313</v>
      </c>
      <c r="O128" s="61"/>
      <c r="P128" s="62"/>
      <c r="Q128" s="89">
        <v>108.5</v>
      </c>
      <c r="R128" s="89"/>
      <c r="S128" s="10">
        <v>4.0109999999999998E-3</v>
      </c>
      <c r="T128" s="10">
        <v>0.47</v>
      </c>
      <c r="U128" s="10">
        <v>0.72</v>
      </c>
      <c r="V128" s="5"/>
    </row>
    <row r="129" spans="1:22" x14ac:dyDescent="0.25">
      <c r="A129" s="8" t="s">
        <v>10</v>
      </c>
      <c r="B129" s="31">
        <v>7.2</v>
      </c>
      <c r="C129" s="10">
        <v>4.1000000000000003E-3</v>
      </c>
      <c r="D129" s="10">
        <v>1.54</v>
      </c>
      <c r="E129" s="16">
        <f t="shared" si="36"/>
        <v>1.5401794123705097</v>
      </c>
      <c r="F129" s="16">
        <f t="shared" si="37"/>
        <v>0.57151851495930617</v>
      </c>
      <c r="G129" s="26">
        <f>(5.01*(B129^0.59)*Z$69)/(86.4*I$22)</f>
        <v>2.5816305337035534</v>
      </c>
      <c r="H129" s="42">
        <f t="shared" si="38"/>
        <v>255.15343343640689</v>
      </c>
      <c r="I129" s="42">
        <f t="shared" si="39"/>
        <v>5.1647932047130212</v>
      </c>
      <c r="J129" s="32">
        <v>3.9</v>
      </c>
      <c r="K129" s="56"/>
      <c r="L129" s="56"/>
      <c r="M129" s="22">
        <f t="shared" si="34"/>
        <v>-92.258573373769309</v>
      </c>
      <c r="N129" s="10">
        <f t="shared" si="35"/>
        <v>-0.82373726226579735</v>
      </c>
      <c r="O129" s="62"/>
      <c r="P129" s="59"/>
      <c r="Q129" s="89">
        <v>112</v>
      </c>
      <c r="R129" s="89"/>
      <c r="S129" s="10">
        <v>3.8700000000000002E-3</v>
      </c>
      <c r="T129" s="10">
        <v>0.4</v>
      </c>
      <c r="U129" s="10">
        <v>0.7</v>
      </c>
      <c r="V129" s="5"/>
    </row>
    <row r="130" spans="1:22" x14ac:dyDescent="0.25">
      <c r="A130" s="8" t="s">
        <v>11</v>
      </c>
      <c r="B130" s="31">
        <v>26</v>
      </c>
      <c r="C130" s="10">
        <v>5.1000000000000004E-3</v>
      </c>
      <c r="D130" s="1">
        <v>3555</v>
      </c>
      <c r="E130" s="16">
        <f t="shared" si="36"/>
        <v>3.5547473255496009</v>
      </c>
      <c r="F130" s="16">
        <f t="shared" si="37"/>
        <v>0.48064913624675215</v>
      </c>
      <c r="G130" s="26">
        <f>(5.01*(B130^0.59)*Z$69)/(86.4*I$23)</f>
        <v>5.3291967239948193</v>
      </c>
      <c r="H130" s="42">
        <f t="shared" si="38"/>
        <v>231.0042721813318</v>
      </c>
      <c r="I130" s="42">
        <f t="shared" si="39"/>
        <v>4.6759680210973178</v>
      </c>
      <c r="J130" s="32">
        <v>3.9</v>
      </c>
      <c r="K130" s="56"/>
      <c r="L130" s="56"/>
      <c r="M130" s="22">
        <f t="shared" si="34"/>
        <v>-73.458573373769312</v>
      </c>
      <c r="N130" s="10">
        <f t="shared" si="35"/>
        <v>-0.60360372533910689</v>
      </c>
      <c r="O130" s="22"/>
      <c r="P130" s="22"/>
      <c r="Q130" s="89">
        <v>121.7</v>
      </c>
      <c r="R130" s="89"/>
      <c r="S130" s="10">
        <v>2.111E-3</v>
      </c>
      <c r="T130" s="10">
        <v>0.4</v>
      </c>
      <c r="U130" s="10">
        <v>0.7</v>
      </c>
      <c r="V130" s="5"/>
    </row>
    <row r="131" spans="1:22" x14ac:dyDescent="0.25">
      <c r="A131" s="8" t="s">
        <v>12</v>
      </c>
      <c r="B131" s="12">
        <v>1988</v>
      </c>
      <c r="C131" s="12">
        <v>1988</v>
      </c>
      <c r="D131" s="32">
        <v>1988</v>
      </c>
      <c r="E131" s="32">
        <v>1988</v>
      </c>
      <c r="F131" s="32">
        <v>1988</v>
      </c>
      <c r="G131" s="32">
        <v>1988</v>
      </c>
      <c r="H131" s="32">
        <v>1988</v>
      </c>
      <c r="I131" s="32">
        <v>1988</v>
      </c>
      <c r="J131" s="47" t="s">
        <v>70</v>
      </c>
      <c r="K131" s="27"/>
      <c r="L131" s="27"/>
      <c r="M131" s="39" t="s">
        <v>60</v>
      </c>
      <c r="N131" s="39" t="s">
        <v>73</v>
      </c>
      <c r="O131" s="105" t="s">
        <v>57</v>
      </c>
      <c r="P131" s="105"/>
      <c r="Q131" s="10"/>
      <c r="R131" s="10"/>
      <c r="S131" s="12">
        <v>1988</v>
      </c>
      <c r="T131" s="12">
        <v>1988</v>
      </c>
      <c r="U131" s="12">
        <v>1988</v>
      </c>
      <c r="V131" s="5"/>
    </row>
    <row r="132" spans="1:22" x14ac:dyDescent="0.25">
      <c r="A132" s="8" t="s">
        <v>0</v>
      </c>
      <c r="B132" s="31">
        <v>70.900000000000006</v>
      </c>
      <c r="C132" s="10">
        <v>5.8999999999999999E-3</v>
      </c>
      <c r="D132" s="1">
        <v>7423</v>
      </c>
      <c r="E132" s="16">
        <f>C132*(($Z$69^F$22)*((0.7*B132+0.29*B130+0.01*B129)^(F$18)))</f>
        <v>7.4232256198558826</v>
      </c>
      <c r="F132" s="16">
        <f>S132*(($Z$69^U$80)*(((0.7*B132)+(0.29*B130)+(0.01*B129))^(T$80)))</f>
        <v>3.4207233102445715</v>
      </c>
      <c r="G132" s="26">
        <f>(5.01*(B132^0.59)*Z$69)/(86.4*I$12)</f>
        <v>9.6318288232032057</v>
      </c>
      <c r="H132" s="42">
        <f>L$30^(J132-(0.6458446*LN(P$34))-(9.53942*N132*(P$34/P$33))+(4.8904*N132))</f>
        <v>376.50475514882447</v>
      </c>
      <c r="I132" s="42">
        <f>L$30^(K$28-(0.6458446*LN(P$34))-(9.53942*N132*(P$34/P$33))+(4.8904*N132))</f>
        <v>3.4244150781849116</v>
      </c>
      <c r="J132" s="32">
        <v>4.7</v>
      </c>
      <c r="K132" s="56"/>
      <c r="L132" s="56"/>
      <c r="M132" s="22">
        <f>(B132-(0.74*P$133))</f>
        <v>10.887017532819947</v>
      </c>
      <c r="N132" s="10">
        <f>M132/Q132</f>
        <v>8.6063379706086532E-2</v>
      </c>
      <c r="O132" s="50" t="s">
        <v>58</v>
      </c>
      <c r="P132" s="36">
        <f>(B132+B133+B134+B135+B136+B137+B138+B139+B140+B141+B142+B143)/12</f>
        <v>58.583333333333343</v>
      </c>
      <c r="Q132" s="89">
        <v>126.5</v>
      </c>
      <c r="R132" s="89"/>
      <c r="S132" s="10">
        <v>5.0039999999999998E-3</v>
      </c>
      <c r="T132" s="10">
        <v>0.41099999999999998</v>
      </c>
      <c r="U132" s="10">
        <v>0.71</v>
      </c>
      <c r="V132" s="5"/>
    </row>
    <row r="133" spans="1:22" x14ac:dyDescent="0.25">
      <c r="A133" s="8" t="s">
        <v>1</v>
      </c>
      <c r="B133" s="31">
        <v>226.3</v>
      </c>
      <c r="C133" s="10">
        <v>7.0000000000000001E-3</v>
      </c>
      <c r="D133" s="1">
        <v>16902</v>
      </c>
      <c r="E133" s="16">
        <f>C133*(($Z$69^F$22)*((0.7*B133+0.29*B132+0.01*B130)^(F$18)))</f>
        <v>16.901955790082901</v>
      </c>
      <c r="F133" s="16">
        <f>S133*(($Z$69^U133)*(((0.7*B133)+(0.29*B132)+(0.01*B130))^(T133)))</f>
        <v>3.0824715424072759</v>
      </c>
      <c r="G133" s="26">
        <f>(5.01*(B133^0.59)*Z$69)/(86.4*J$13)</f>
        <v>20.419968119567873</v>
      </c>
      <c r="H133" s="42">
        <f>L$30^(J133-(0.6458446*LN(P$34))-(9.53942*N133*(P$34/P$33))+(4.8904*N133))</f>
        <v>203.24519916611416</v>
      </c>
      <c r="I133" s="42">
        <f>L$30^(K$28-(0.6458446*LN(P$34))-(9.53942*N133*(P$34/P$33))+(4.8904*N133))</f>
        <v>1.8485714060052818</v>
      </c>
      <c r="J133" s="32">
        <v>4.7</v>
      </c>
      <c r="K133" s="56"/>
      <c r="L133" s="56"/>
      <c r="M133" s="22">
        <f t="shared" ref="M133:M143" si="40">(B133-(0.74*P$133))</f>
        <v>166.28701753281996</v>
      </c>
      <c r="N133" s="10">
        <f t="shared" ref="N133:N143" si="41">M133/Q133</f>
        <v>1.4510210953998253</v>
      </c>
      <c r="O133" s="50" t="s">
        <v>66</v>
      </c>
      <c r="P133" s="22">
        <f>((((B132-P132)^2+(B133-P132)^2+(B134-P132)^2+(B135-P132)^2+(B136-P132)^2+(B137-P132)^2+(B138-P132)^2+(B139-P132)^2+(B140-P132)^2+(B141-P132)^2+(B142-P132)^2+(B143-P132)^2))/(12-1))^0.5</f>
        <v>81.098624955648731</v>
      </c>
      <c r="Q133" s="89">
        <v>114.6</v>
      </c>
      <c r="R133" s="89"/>
      <c r="S133" s="10">
        <v>6.4559999999999999E-3</v>
      </c>
      <c r="T133" s="10">
        <v>0.375</v>
      </c>
      <c r="U133" s="10">
        <v>0.7</v>
      </c>
      <c r="V133" s="5"/>
    </row>
    <row r="134" spans="1:22" x14ac:dyDescent="0.25">
      <c r="A134" s="8" t="s">
        <v>2</v>
      </c>
      <c r="B134" s="31">
        <v>46.9</v>
      </c>
      <c r="C134" s="10">
        <v>5.4999999999999997E-3</v>
      </c>
      <c r="D134" s="1">
        <v>9471</v>
      </c>
      <c r="E134" s="16">
        <f t="shared" ref="E134:E143" si="42">C134*(($Z$69^F$22)*((0.7*B134+0.29*B133+0.01*B132)^(F$18)))</f>
        <v>9.4710383611171327</v>
      </c>
      <c r="F134" s="16">
        <f t="shared" ref="F134:F143" si="43">S134*(($Z$69^U134)*(((0.7*B134)+(0.29*B133)+(0.01*B132))^(T134)))</f>
        <v>1.9197301518062475</v>
      </c>
      <c r="G134" s="26">
        <f>(5.01*(B134^0.59)*Z$69)/(86.4*I$14)</f>
        <v>7.5477838431253623</v>
      </c>
      <c r="H134" s="42">
        <f>L$30^(J134-(0.6458446*LN(P$34))-(9.53942*N134*(P$34/P$33))+(4.8904*N134))</f>
        <v>409.61745416747505</v>
      </c>
      <c r="I134" s="42">
        <f>L$30^(K$28-(0.6458446*LN(P$34))-(9.53942*N134*(P$34/P$33))+(4.8904*N134))</f>
        <v>3.7255842513446105</v>
      </c>
      <c r="J134" s="32">
        <v>4.7</v>
      </c>
      <c r="K134" s="56"/>
      <c r="L134" s="58"/>
      <c r="M134" s="22">
        <f>(B134-(0.74*P$133))</f>
        <v>-13.112982467180061</v>
      </c>
      <c r="N134" s="10">
        <f t="shared" si="41"/>
        <v>-0.1005596814967796</v>
      </c>
      <c r="O134" s="22"/>
      <c r="P134" s="22"/>
      <c r="Q134" s="89">
        <v>130.4</v>
      </c>
      <c r="R134" s="89"/>
      <c r="S134" s="10">
        <v>4.9740000000000001E-3</v>
      </c>
      <c r="T134" s="10">
        <v>0.377</v>
      </c>
      <c r="U134" s="10">
        <v>0.7</v>
      </c>
      <c r="V134" s="5"/>
    </row>
    <row r="135" spans="1:22" x14ac:dyDescent="0.25">
      <c r="A135" s="8" t="s">
        <v>3</v>
      </c>
      <c r="B135" s="31">
        <v>219.9</v>
      </c>
      <c r="C135" s="10">
        <v>6.8999999999999999E-3</v>
      </c>
      <c r="D135" s="1">
        <v>16153</v>
      </c>
      <c r="E135" s="16">
        <f t="shared" si="42"/>
        <v>16.153706505756578</v>
      </c>
      <c r="F135" s="16">
        <f t="shared" si="43"/>
        <v>3.8062641892004474</v>
      </c>
      <c r="G135" s="26">
        <f>(5.01*(B135^0.59)*Z$69)/(86.4*I$15)</f>
        <v>19.408000798169343</v>
      </c>
      <c r="H135" s="42">
        <f>L$30^(J135-(0.6458446*LN(P$34))-(9.53942*N135*(P$34/P$33))+(4.8904*N135))</f>
        <v>222.65156348840651</v>
      </c>
      <c r="I135" s="42">
        <f>L$30^(K$28-(0.6458446*LN(P$34))-(9.53942*N135*(P$34/P$33))+(4.8904*N135))</f>
        <v>2.0250776670530071</v>
      </c>
      <c r="J135" s="32">
        <v>4.7</v>
      </c>
      <c r="K135" s="56"/>
      <c r="L135" s="56"/>
      <c r="M135" s="22">
        <f t="shared" si="40"/>
        <v>159.88701753281995</v>
      </c>
      <c r="N135" s="10">
        <f t="shared" si="41"/>
        <v>1.2491173244751559</v>
      </c>
      <c r="O135" s="22"/>
      <c r="P135" s="22"/>
      <c r="Q135" s="89">
        <v>128</v>
      </c>
      <c r="R135" s="89"/>
      <c r="S135" s="10">
        <v>6.5319999999999996E-3</v>
      </c>
      <c r="T135" s="10">
        <v>0.40600000000000003</v>
      </c>
      <c r="U135" s="10">
        <v>0.71</v>
      </c>
      <c r="V135" s="5"/>
    </row>
    <row r="136" spans="1:22" x14ac:dyDescent="0.25">
      <c r="A136" s="8" t="s">
        <v>4</v>
      </c>
      <c r="B136" s="31">
        <v>75.099999999999994</v>
      </c>
      <c r="C136" s="10">
        <v>6.0000000000000001E-3</v>
      </c>
      <c r="D136" s="1">
        <v>11345</v>
      </c>
      <c r="E136" s="16">
        <f t="shared" si="42"/>
        <v>11.344932513011617</v>
      </c>
      <c r="F136" s="16">
        <f t="shared" si="43"/>
        <v>2.1707936246377448</v>
      </c>
      <c r="G136" s="26">
        <f>(5.01*(B136^0.59)*Z$69)/(86.4*I$16)</f>
        <v>9.9644891768325827</v>
      </c>
      <c r="H136" s="42">
        <f t="shared" ref="H136:H143" si="44">L$30^(J136-(0.6458446*LN(P$34))-(9.53942*N136*(P$34/P$33))+(4.8904*N136))</f>
        <v>370.43219888669523</v>
      </c>
      <c r="I136" s="42">
        <f t="shared" ref="I136:I143" si="45">L$30^(K$28-(0.6458446*LN(P$34))-(9.53942*N136*(P$34/P$33))+(4.8904*N136))</f>
        <v>3.3691834962652045</v>
      </c>
      <c r="J136" s="32">
        <v>4.7</v>
      </c>
      <c r="K136" s="56"/>
      <c r="L136" s="56"/>
      <c r="M136" s="22">
        <f t="shared" si="40"/>
        <v>15.087017532819935</v>
      </c>
      <c r="N136" s="10">
        <f t="shared" si="41"/>
        <v>0.12206324864741049</v>
      </c>
      <c r="O136" s="59"/>
      <c r="P136" s="59"/>
      <c r="Q136" s="89">
        <v>123.6</v>
      </c>
      <c r="R136" s="89"/>
      <c r="S136" s="10">
        <v>5.0179999999999999E-3</v>
      </c>
      <c r="T136" s="10">
        <v>0.38800000000000001</v>
      </c>
      <c r="U136" s="10">
        <v>0.7</v>
      </c>
      <c r="V136" s="5"/>
    </row>
    <row r="137" spans="1:22" x14ac:dyDescent="0.25">
      <c r="A137" s="8" t="s">
        <v>5</v>
      </c>
      <c r="B137" s="31">
        <v>3</v>
      </c>
      <c r="C137" s="10">
        <v>4.0000000000000001E-3</v>
      </c>
      <c r="D137" s="1">
        <v>3212</v>
      </c>
      <c r="E137" s="16">
        <f t="shared" si="42"/>
        <v>3.2121849713322863</v>
      </c>
      <c r="F137" s="16">
        <f t="shared" si="43"/>
        <v>0.72158489244859469</v>
      </c>
      <c r="G137" s="26">
        <f>(5.01*(B137^0.59)*Z$69)/(86.4*I$17)</f>
        <v>1.5401728248859967</v>
      </c>
      <c r="H137" s="42">
        <f t="shared" si="44"/>
        <v>222.51077329957667</v>
      </c>
      <c r="I137" s="42">
        <f t="shared" si="45"/>
        <v>4.5040433688677748</v>
      </c>
      <c r="J137" s="32">
        <v>3.9</v>
      </c>
      <c r="K137" s="56"/>
      <c r="L137" s="56"/>
      <c r="M137" s="22">
        <f t="shared" si="40"/>
        <v>-57.012982467180059</v>
      </c>
      <c r="N137" s="10">
        <f t="shared" si="41"/>
        <v>-0.52066650654958957</v>
      </c>
      <c r="O137" s="59"/>
      <c r="P137" s="59"/>
      <c r="Q137" s="89">
        <v>109.5</v>
      </c>
      <c r="R137" s="89"/>
      <c r="S137" s="10">
        <v>3.0040000000000002E-3</v>
      </c>
      <c r="T137" s="10">
        <v>0.38600000000000001</v>
      </c>
      <c r="U137" s="10">
        <v>0.7</v>
      </c>
      <c r="V137" s="5"/>
    </row>
    <row r="138" spans="1:22" x14ac:dyDescent="0.25">
      <c r="A138" s="8" t="s">
        <v>6</v>
      </c>
      <c r="B138" s="31">
        <v>4.0999999999999996</v>
      </c>
      <c r="C138" s="10">
        <v>4.0000000000000001E-3</v>
      </c>
      <c r="D138" s="1">
        <v>1176</v>
      </c>
      <c r="E138" s="16">
        <f t="shared" si="42"/>
        <v>1.1762828995392902</v>
      </c>
      <c r="F138" s="16">
        <f t="shared" si="43"/>
        <v>0.5400722832176148</v>
      </c>
      <c r="G138" s="26">
        <f>(5.01*(B138^0.59)*Z$69)/(86.4*I$18)</f>
        <v>1.7921318259454937</v>
      </c>
      <c r="H138" s="42">
        <f t="shared" si="44"/>
        <v>49.858180719452804</v>
      </c>
      <c r="I138" s="42">
        <f t="shared" si="45"/>
        <v>4.5230321096027017</v>
      </c>
      <c r="J138" s="32">
        <v>2.4</v>
      </c>
      <c r="K138" s="56"/>
      <c r="L138" s="56"/>
      <c r="M138" s="22">
        <f t="shared" si="40"/>
        <v>-55.912982467180058</v>
      </c>
      <c r="N138" s="10">
        <f t="shared" si="41"/>
        <v>-0.52998087646616165</v>
      </c>
      <c r="O138" s="59"/>
      <c r="P138" s="59"/>
      <c r="Q138" s="89">
        <v>105.5</v>
      </c>
      <c r="R138" s="89"/>
      <c r="S138" s="10">
        <v>3.9899999999999996E-3</v>
      </c>
      <c r="T138" s="10">
        <v>0.41599999999999998</v>
      </c>
      <c r="U138" s="10">
        <v>0.71</v>
      </c>
      <c r="V138" s="5"/>
    </row>
    <row r="139" spans="1:22" x14ac:dyDescent="0.25">
      <c r="A139" s="8" t="s">
        <v>7</v>
      </c>
      <c r="B139" s="31">
        <v>1.5</v>
      </c>
      <c r="C139" s="10">
        <v>4.0000000000000001E-3</v>
      </c>
      <c r="D139" s="10">
        <v>0.79600000000000004</v>
      </c>
      <c r="E139" s="16">
        <f t="shared" si="42"/>
        <v>0.79647615832930785</v>
      </c>
      <c r="F139" s="16">
        <f t="shared" si="43"/>
        <v>0.53995670546462293</v>
      </c>
      <c r="G139" s="26">
        <f>(5.01*(B139^0.59)*Z$69)/(86.4*I$19)</f>
        <v>0.99019634694337466</v>
      </c>
      <c r="H139" s="42">
        <f t="shared" si="44"/>
        <v>13.779694753562303</v>
      </c>
      <c r="I139" s="42">
        <f t="shared" si="45"/>
        <v>4.5868619256473204</v>
      </c>
      <c r="J139" s="32">
        <v>1.1000000000000001</v>
      </c>
      <c r="K139" s="56"/>
      <c r="L139" s="56"/>
      <c r="M139" s="22">
        <f t="shared" si="40"/>
        <v>-58.512982467180059</v>
      </c>
      <c r="N139" s="10">
        <f t="shared" si="41"/>
        <v>-0.5610065433094924</v>
      </c>
      <c r="O139" s="60"/>
      <c r="P139" s="59"/>
      <c r="Q139" s="89">
        <v>104.3</v>
      </c>
      <c r="R139" s="89"/>
      <c r="S139" s="10">
        <v>4.1999999999999997E-3</v>
      </c>
      <c r="T139" s="10">
        <v>0.42</v>
      </c>
      <c r="U139" s="10">
        <v>0.748</v>
      </c>
      <c r="V139" s="5"/>
    </row>
    <row r="140" spans="1:22" x14ac:dyDescent="0.25">
      <c r="A140" s="8" t="s">
        <v>8</v>
      </c>
      <c r="B140" s="31">
        <v>9.1999999999999993</v>
      </c>
      <c r="C140" s="10">
        <v>4.4000000000000003E-3</v>
      </c>
      <c r="D140" s="1">
        <v>1656</v>
      </c>
      <c r="E140" s="16">
        <f t="shared" si="42"/>
        <v>1.6557486386943159</v>
      </c>
      <c r="F140" s="16">
        <f t="shared" si="43"/>
        <v>0.51864687242318963</v>
      </c>
      <c r="G140" s="26">
        <f>(5.01*(B140^0.59)*Z$69)/(86.4*I$20)</f>
        <v>2.9833398839662144</v>
      </c>
      <c r="H140" s="42">
        <f t="shared" si="44"/>
        <v>13.408934565372979</v>
      </c>
      <c r="I140" s="42">
        <f t="shared" si="45"/>
        <v>4.4634465800126319</v>
      </c>
      <c r="J140" s="32">
        <v>1.1000000000000001</v>
      </c>
      <c r="K140" s="56"/>
      <c r="L140" s="56"/>
      <c r="M140" s="22">
        <f t="shared" si="40"/>
        <v>-50.812982467180063</v>
      </c>
      <c r="N140" s="10">
        <f t="shared" si="41"/>
        <v>-0.50062051691803022</v>
      </c>
      <c r="O140" s="59"/>
      <c r="P140" s="59"/>
      <c r="Q140" s="89">
        <v>101.5</v>
      </c>
      <c r="R140" s="89"/>
      <c r="S140" s="10">
        <v>3.7000000000000002E-3</v>
      </c>
      <c r="T140" s="10">
        <v>0.38800000000000001</v>
      </c>
      <c r="U140" s="10">
        <v>0.69499999999999995</v>
      </c>
      <c r="V140" s="5"/>
    </row>
    <row r="141" spans="1:22" ht="18.75" x14ac:dyDescent="0.3">
      <c r="A141" s="8" t="s">
        <v>9</v>
      </c>
      <c r="B141" s="31">
        <v>3.1</v>
      </c>
      <c r="C141" s="10">
        <v>4.0000000000000001E-3</v>
      </c>
      <c r="D141" s="10">
        <v>1.23</v>
      </c>
      <c r="E141" s="16">
        <f t="shared" si="42"/>
        <v>1.2295309878067946</v>
      </c>
      <c r="F141" s="16">
        <f t="shared" si="43"/>
        <v>0.51329819730501336</v>
      </c>
      <c r="G141" s="26">
        <f>(5.01*(B141^0.59)*Z$69)/(86.4*I$21)</f>
        <v>1.5196055684204184</v>
      </c>
      <c r="H141" s="42">
        <f t="shared" si="44"/>
        <v>49.735885484162971</v>
      </c>
      <c r="I141" s="42">
        <f t="shared" si="45"/>
        <v>4.5119377361601574</v>
      </c>
      <c r="J141" s="32">
        <v>2.4</v>
      </c>
      <c r="K141" s="56"/>
      <c r="L141" s="56"/>
      <c r="M141" s="22">
        <f t="shared" si="40"/>
        <v>-56.912982467180058</v>
      </c>
      <c r="N141" s="10">
        <f t="shared" si="41"/>
        <v>-0.52454361720903275</v>
      </c>
      <c r="O141" s="61"/>
      <c r="P141" s="62"/>
      <c r="Q141" s="89">
        <v>108.5</v>
      </c>
      <c r="R141" s="89"/>
      <c r="S141" s="10">
        <v>4.0000000000000001E-3</v>
      </c>
      <c r="T141" s="10">
        <v>0.4</v>
      </c>
      <c r="U141" s="10">
        <v>0.7</v>
      </c>
      <c r="V141" s="5"/>
    </row>
    <row r="142" spans="1:22" x14ac:dyDescent="0.25">
      <c r="A142" s="8" t="s">
        <v>10</v>
      </c>
      <c r="B142" s="31">
        <v>16.5</v>
      </c>
      <c r="C142" s="10">
        <v>4.7000000000000002E-3</v>
      </c>
      <c r="D142" s="1">
        <v>2485</v>
      </c>
      <c r="E142" s="16">
        <f t="shared" si="42"/>
        <v>2.4846115069229846</v>
      </c>
      <c r="F142" s="16">
        <f t="shared" si="43"/>
        <v>0.50164560236075473</v>
      </c>
      <c r="G142" s="26">
        <f>(5.01*(B142^0.59)*Z$69)/(86.4*I$22)</f>
        <v>4.2109825636398917</v>
      </c>
      <c r="H142" s="42">
        <f t="shared" si="44"/>
        <v>209.61722901896383</v>
      </c>
      <c r="I142" s="42">
        <f t="shared" si="45"/>
        <v>4.2430533873170377</v>
      </c>
      <c r="J142" s="32">
        <v>3.9</v>
      </c>
      <c r="K142" s="56"/>
      <c r="L142" s="56"/>
      <c r="M142" s="22">
        <f t="shared" si="40"/>
        <v>-43.512982467180059</v>
      </c>
      <c r="N142" s="10">
        <f t="shared" si="41"/>
        <v>-0.3885087720283934</v>
      </c>
      <c r="O142" s="10"/>
      <c r="P142" s="22"/>
      <c r="Q142" s="89">
        <v>112</v>
      </c>
      <c r="R142" s="89"/>
      <c r="S142" s="10">
        <v>2.9129999999999998E-3</v>
      </c>
      <c r="T142" s="10">
        <v>0.39</v>
      </c>
      <c r="U142" s="10">
        <v>0.69</v>
      </c>
      <c r="V142" s="5"/>
    </row>
    <row r="143" spans="1:22" x14ac:dyDescent="0.25">
      <c r="A143" s="8" t="s">
        <v>11</v>
      </c>
      <c r="B143" s="31">
        <v>26.5</v>
      </c>
      <c r="C143" s="10">
        <v>5.1000000000000004E-3</v>
      </c>
      <c r="D143" s="1">
        <v>3847</v>
      </c>
      <c r="E143" s="16">
        <f t="shared" si="42"/>
        <v>3.8465780312156053</v>
      </c>
      <c r="F143" s="16">
        <f t="shared" si="43"/>
        <v>0.50158101381645259</v>
      </c>
      <c r="G143" s="26">
        <f>(5.01*(B143^0.59)*Z$69)/(86.4*I$23)</f>
        <v>5.3894263646781049</v>
      </c>
      <c r="H143" s="42">
        <f t="shared" si="44"/>
        <v>199.17480457486582</v>
      </c>
      <c r="I143" s="42">
        <f t="shared" si="45"/>
        <v>4.0316787564400913</v>
      </c>
      <c r="J143" s="32">
        <v>3.9</v>
      </c>
      <c r="K143" s="56"/>
      <c r="L143" s="56"/>
      <c r="M143" s="22">
        <f t="shared" si="40"/>
        <v>-33.512982467180059</v>
      </c>
      <c r="N143" s="10">
        <f t="shared" si="41"/>
        <v>-0.27537372610665617</v>
      </c>
      <c r="O143" s="22"/>
      <c r="P143" s="22"/>
      <c r="Q143" s="89">
        <v>121.7</v>
      </c>
      <c r="R143" s="89"/>
      <c r="S143" s="10">
        <v>2.2850000000000001E-3</v>
      </c>
      <c r="T143" s="10">
        <v>0.39</v>
      </c>
      <c r="U143" s="10">
        <v>0.69</v>
      </c>
      <c r="V143" s="5"/>
    </row>
    <row r="144" spans="1:22" x14ac:dyDescent="0.25">
      <c r="A144" s="8" t="s">
        <v>12</v>
      </c>
      <c r="B144" s="12">
        <v>1989</v>
      </c>
      <c r="C144" s="12">
        <v>1989</v>
      </c>
      <c r="D144" s="32">
        <v>1989</v>
      </c>
      <c r="E144" s="32">
        <v>1989</v>
      </c>
      <c r="F144" s="32">
        <v>1989</v>
      </c>
      <c r="G144" s="32">
        <v>1989</v>
      </c>
      <c r="H144" s="32">
        <v>1989</v>
      </c>
      <c r="I144" s="32">
        <v>1989</v>
      </c>
      <c r="J144" s="47" t="s">
        <v>70</v>
      </c>
      <c r="K144" s="27"/>
      <c r="L144" s="27"/>
      <c r="M144" s="39" t="s">
        <v>60</v>
      </c>
      <c r="N144" s="39" t="s">
        <v>73</v>
      </c>
      <c r="O144" s="105" t="s">
        <v>57</v>
      </c>
      <c r="P144" s="105"/>
      <c r="Q144" s="10"/>
      <c r="R144" s="10"/>
      <c r="S144" s="12">
        <v>1989</v>
      </c>
      <c r="T144" s="12">
        <v>1989</v>
      </c>
      <c r="U144" s="12">
        <v>1989</v>
      </c>
      <c r="V144" s="5"/>
    </row>
    <row r="145" spans="1:22" x14ac:dyDescent="0.25">
      <c r="A145" s="8" t="s">
        <v>0</v>
      </c>
      <c r="B145" s="31">
        <v>380.3</v>
      </c>
      <c r="C145" s="10">
        <v>7.4000000000000003E-3</v>
      </c>
      <c r="D145" s="1">
        <v>22772</v>
      </c>
      <c r="E145" s="16">
        <f>C145*(($Z$69^F$22)*((0.7*B145+0.29*B143+0.01*B142)^(F$18)))</f>
        <v>22.772038047153767</v>
      </c>
      <c r="F145" s="16">
        <f>S145*(($Z$69^U$80)*(((0.7*B145)+(0.29*B143)+(0.01*B142))^(T$80)))</f>
        <v>9.2980614408017885</v>
      </c>
      <c r="G145" s="26">
        <f>(5.01*(B145^0.59)*Z$69)/(86.4*I$12)</f>
        <v>25.947887655887442</v>
      </c>
      <c r="H145" s="42">
        <f>L$30^(J145-(0.6458446*LN(P$34))-(9.53942*N145*(P$34/P$33))+(4.8904*N145))</f>
        <v>143.65873244403772</v>
      </c>
      <c r="I145" s="42">
        <f>L$30^(K$28-(0.6458446*LN(P$34))-(9.53942*N145*(P$34/P$33))+(4.8904*N145))</f>
        <v>1.3066159796569856</v>
      </c>
      <c r="J145" s="32">
        <v>4.7</v>
      </c>
      <c r="K145" s="56"/>
      <c r="L145" s="56"/>
      <c r="M145" s="22">
        <f>(B145-(0.74*P$146))</f>
        <v>280.73025471392759</v>
      </c>
      <c r="N145" s="10">
        <f>M145/Q145</f>
        <v>2.2192114997148424</v>
      </c>
      <c r="O145" s="50" t="s">
        <v>58</v>
      </c>
      <c r="P145" s="22">
        <f>(B145+B146+B147+B148+B149+B150+B151+B152+B153+B154+B155+B156)/12</f>
        <v>94.15833333333336</v>
      </c>
      <c r="Q145" s="89">
        <v>126.5</v>
      </c>
      <c r="R145" s="89"/>
      <c r="S145" s="10">
        <v>6.4140000000000004E-3</v>
      </c>
      <c r="T145" s="10">
        <v>0.36199999999999999</v>
      </c>
      <c r="U145" s="10">
        <v>0.68</v>
      </c>
      <c r="V145" s="5"/>
    </row>
    <row r="146" spans="1:22" x14ac:dyDescent="0.25">
      <c r="A146" s="8" t="s">
        <v>1</v>
      </c>
      <c r="B146" s="31">
        <v>318.8</v>
      </c>
      <c r="C146" s="10">
        <v>7.3000000000000001E-3</v>
      </c>
      <c r="D146" s="1">
        <v>25138</v>
      </c>
      <c r="E146" s="16">
        <f>C146*(($Z$69^F$22)*((0.7*B146+0.29*B145+0.01*B143)^(F$18)))</f>
        <v>25.138415044694813</v>
      </c>
      <c r="F146" s="16">
        <f>S146*(($Z$69^U146)*(((0.7*B146)+(0.29*B145)+(0.01*B143))^(T146)))</f>
        <v>11.159937442556288</v>
      </c>
      <c r="G146" s="26">
        <f>(5.01*(B146^0.59)*Z$69)/(86.4*J$13)</f>
        <v>24.995796334821087</v>
      </c>
      <c r="H146" s="42">
        <f>L$30^(J146-(0.6458446*LN(P$34))-(9.53942*N146*(P$34/P$33))+(4.8904*N146))</f>
        <v>164.96724210710656</v>
      </c>
      <c r="I146" s="42">
        <f>L$30^(K$28-(0.6458446*LN(P$34))-(9.53942*N146*(P$34/P$33))+(4.8904*N146))</f>
        <v>1.500422779666772</v>
      </c>
      <c r="J146" s="32">
        <v>4.7</v>
      </c>
      <c r="K146" s="56"/>
      <c r="L146" s="56"/>
      <c r="M146" s="22">
        <f t="shared" ref="M146:M156" si="46">(B146-(0.74*P$146))</f>
        <v>219.23025471392762</v>
      </c>
      <c r="N146" s="10">
        <f t="shared" ref="N146:N156" si="47">M146/Q146</f>
        <v>1.9130039678353197</v>
      </c>
      <c r="O146" s="50" t="s">
        <v>66</v>
      </c>
      <c r="P146" s="22">
        <f>((((B145-P145)^2+(B146-P145)^2+(B147-P145)^2+(B148-P145)^2+(B149-P145)^2+(B150-P145)^2+(B151-P145)^2+(B152-P145)^2+(B153-P145)^2+(B154-P145)^2+(B155-P145)^2+(B156-P145)^2))/(12-1))^0.5</f>
        <v>134.55370984604377</v>
      </c>
      <c r="Q146" s="89">
        <v>114.6</v>
      </c>
      <c r="R146" s="89"/>
      <c r="S146" s="10">
        <v>7.4229999999999999E-3</v>
      </c>
      <c r="T146" s="10">
        <v>0.47</v>
      </c>
      <c r="U146" s="10">
        <v>0.76</v>
      </c>
      <c r="V146" s="5"/>
    </row>
    <row r="147" spans="1:22" x14ac:dyDescent="0.25">
      <c r="A147" s="8" t="s">
        <v>2</v>
      </c>
      <c r="B147" s="31">
        <v>187.6</v>
      </c>
      <c r="C147" s="10">
        <v>6.7000000000000002E-3</v>
      </c>
      <c r="D147" s="1">
        <v>18541</v>
      </c>
      <c r="E147" s="16">
        <f t="shared" ref="E147:E156" si="48">C147*(($Z$69^F$22)*((0.7*B147+0.29*B146+0.01*B145)^(F$18)))</f>
        <v>18.541478212934887</v>
      </c>
      <c r="F147" s="16">
        <f t="shared" ref="F147:F156" si="49">S147*(($Z$69^U147)*(((0.7*B147)+(0.29*B146)+(0.01*B145))^(T147)))</f>
        <v>6.6498426739035681</v>
      </c>
      <c r="G147" s="26">
        <f>(5.01*(B147^0.59)*Z$69)/(86.4*I$14)</f>
        <v>17.101525371145421</v>
      </c>
      <c r="H147" s="42">
        <f>L$30^(J147-(0.6458446*LN(P$34))-(9.53942*N147*(P$34/P$33))+(4.8904*N147))</f>
        <v>288.55539887398993</v>
      </c>
      <c r="I147" s="42">
        <f>L$30^(K$28-(0.6458446*LN(P$34))-(9.53942*N147*(P$34/P$33))+(4.8904*N147))</f>
        <v>2.6244913119494711</v>
      </c>
      <c r="J147" s="32">
        <v>4.7</v>
      </c>
      <c r="K147" s="56"/>
      <c r="L147" s="58"/>
      <c r="M147" s="22">
        <f t="shared" si="46"/>
        <v>88.030254713927604</v>
      </c>
      <c r="N147" s="10">
        <f t="shared" si="47"/>
        <v>0.67507864044423005</v>
      </c>
      <c r="O147" s="22"/>
      <c r="P147" s="22"/>
      <c r="Q147" s="89">
        <v>130.4</v>
      </c>
      <c r="R147" s="89"/>
      <c r="S147" s="10">
        <v>6.7400000000000003E-3</v>
      </c>
      <c r="T147" s="10">
        <v>0.47</v>
      </c>
      <c r="U147" s="10">
        <v>0.72</v>
      </c>
      <c r="V147" s="5"/>
    </row>
    <row r="148" spans="1:22" x14ac:dyDescent="0.25">
      <c r="A148" s="8" t="s">
        <v>3</v>
      </c>
      <c r="B148" s="31">
        <v>142.9</v>
      </c>
      <c r="C148" s="10">
        <v>6.4999999999999997E-3</v>
      </c>
      <c r="D148" s="1">
        <v>14584</v>
      </c>
      <c r="E148" s="16">
        <f t="shared" si="48"/>
        <v>14.584329125194316</v>
      </c>
      <c r="F148" s="16">
        <f t="shared" si="49"/>
        <v>6.9124719623987314</v>
      </c>
      <c r="G148" s="26">
        <f>(5.01*(B148^0.59)*Z$69)/(86.4*I$15)</f>
        <v>15.05001493990029</v>
      </c>
      <c r="H148" s="42">
        <f>L$30^(J148-(0.6458446*LN(P$34))-(9.53942*N148*(P$34/P$33))+(4.8904*N148))</f>
        <v>335.93018641307827</v>
      </c>
      <c r="I148" s="42">
        <f>L$30^(K$28-(0.6458446*LN(P$34))-(9.53942*N148*(P$34/P$33))+(4.8904*N148))</f>
        <v>3.0553781322514739</v>
      </c>
      <c r="J148" s="32">
        <v>4.7</v>
      </c>
      <c r="K148" s="56"/>
      <c r="L148" s="56"/>
      <c r="M148" s="22">
        <f t="shared" si="46"/>
        <v>43.330254713927616</v>
      </c>
      <c r="N148" s="10">
        <f t="shared" si="47"/>
        <v>0.3385176149525595</v>
      </c>
      <c r="O148" s="22"/>
      <c r="P148" s="22"/>
      <c r="Q148" s="89">
        <v>128</v>
      </c>
      <c r="R148" s="89"/>
      <c r="S148" s="10">
        <v>6.5500000000000003E-3</v>
      </c>
      <c r="T148" s="10">
        <v>0.49</v>
      </c>
      <c r="U148" s="10">
        <v>0.74299999999999999</v>
      </c>
      <c r="V148" s="5"/>
    </row>
    <row r="149" spans="1:22" x14ac:dyDescent="0.25">
      <c r="A149" s="8" t="s">
        <v>4</v>
      </c>
      <c r="B149" s="31">
        <v>55.7</v>
      </c>
      <c r="C149" s="10">
        <v>5.7000000000000002E-3</v>
      </c>
      <c r="D149" s="1">
        <v>8824</v>
      </c>
      <c r="E149" s="16">
        <f t="shared" si="48"/>
        <v>8.8245405010345888</v>
      </c>
      <c r="F149" s="16">
        <f t="shared" si="49"/>
        <v>2.1800400071090738</v>
      </c>
      <c r="G149" s="26">
        <f>(5.01*(B149^0.59)*Z$69)/(86.4*I$16)</f>
        <v>8.3537609249673697</v>
      </c>
      <c r="H149" s="42">
        <f t="shared" ref="H149:H156" si="50">L$30^(J149-(0.6458446*LN(P$34))-(9.53942*N149*(P$34/P$33))+(4.8904*N149))</f>
        <v>459.49033223718118</v>
      </c>
      <c r="I149" s="42">
        <f t="shared" ref="I149:I156" si="51">L$30^(K$28-(0.6458446*LN(P$34))-(9.53942*N149*(P$34/P$33))+(4.8904*N149))</f>
        <v>4.1791918972477049</v>
      </c>
      <c r="J149" s="32">
        <v>4.7</v>
      </c>
      <c r="K149" s="56"/>
      <c r="L149" s="56"/>
      <c r="M149" s="22">
        <f t="shared" si="46"/>
        <v>-43.869745286072387</v>
      </c>
      <c r="N149" s="10">
        <f t="shared" si="47"/>
        <v>-0.35493321428861158</v>
      </c>
      <c r="O149" s="59"/>
      <c r="P149" s="59"/>
      <c r="Q149" s="89">
        <v>123.6</v>
      </c>
      <c r="R149" s="89"/>
      <c r="S149" s="10">
        <v>5.4749999999999998E-3</v>
      </c>
      <c r="T149" s="10">
        <v>0.4</v>
      </c>
      <c r="U149" s="10">
        <v>0.7</v>
      </c>
      <c r="V149" s="5"/>
    </row>
    <row r="150" spans="1:22" x14ac:dyDescent="0.25">
      <c r="A150" s="8" t="s">
        <v>5</v>
      </c>
      <c r="B150" s="31">
        <v>7.2</v>
      </c>
      <c r="C150" s="10">
        <v>4.1999999999999997E-3</v>
      </c>
      <c r="D150" s="10">
        <v>3.11</v>
      </c>
      <c r="E150" s="16">
        <f t="shared" si="48"/>
        <v>3.109765481793612</v>
      </c>
      <c r="F150" s="16">
        <f t="shared" si="49"/>
        <v>1.2547243350298303</v>
      </c>
      <c r="G150" s="26">
        <f>(5.01*(B150^0.59)*Z$69)/(86.4*I$17)</f>
        <v>2.5816305337035534</v>
      </c>
      <c r="H150" s="42">
        <f t="shared" si="50"/>
        <v>257.44811246391077</v>
      </c>
      <c r="I150" s="42">
        <f t="shared" si="51"/>
        <v>5.2112418943843117</v>
      </c>
      <c r="J150" s="32">
        <v>3.9</v>
      </c>
      <c r="K150" s="56"/>
      <c r="L150" s="56"/>
      <c r="M150" s="22">
        <f t="shared" si="46"/>
        <v>-92.369745286072387</v>
      </c>
      <c r="N150" s="10">
        <f t="shared" si="47"/>
        <v>-0.84355931768102632</v>
      </c>
      <c r="O150" s="59"/>
      <c r="P150" s="59"/>
      <c r="Q150" s="89">
        <v>109.5</v>
      </c>
      <c r="R150" s="89"/>
      <c r="S150" s="10">
        <v>4.1200000000000004E-3</v>
      </c>
      <c r="T150" s="10">
        <v>0.441</v>
      </c>
      <c r="U150" s="10">
        <v>0.72</v>
      </c>
      <c r="V150" s="5"/>
    </row>
    <row r="151" spans="1:22" x14ac:dyDescent="0.25">
      <c r="A151" s="8" t="s">
        <v>6</v>
      </c>
      <c r="B151" s="31">
        <v>1.4</v>
      </c>
      <c r="C151" s="10">
        <v>4.0000000000000001E-3</v>
      </c>
      <c r="D151" s="1">
        <v>1041</v>
      </c>
      <c r="E151" s="16">
        <f t="shared" si="48"/>
        <v>1.0408269752107515</v>
      </c>
      <c r="F151" s="16">
        <f t="shared" si="49"/>
        <v>0.85880696621771369</v>
      </c>
      <c r="G151" s="26">
        <f>(5.01*(B151^0.59)*Z$69)/(86.4*I$18)</f>
        <v>0.9506989581924602</v>
      </c>
      <c r="H151" s="42">
        <f t="shared" si="50"/>
        <v>59.745608324215624</v>
      </c>
      <c r="I151" s="42">
        <f t="shared" si="51"/>
        <v>5.4199993052040822</v>
      </c>
      <c r="J151" s="32">
        <v>2.4</v>
      </c>
      <c r="K151" s="56"/>
      <c r="L151" s="56"/>
      <c r="M151" s="22">
        <f t="shared" si="46"/>
        <v>-98.169745286072384</v>
      </c>
      <c r="N151" s="10">
        <f t="shared" si="47"/>
        <v>-0.93051891266419318</v>
      </c>
      <c r="O151" s="59"/>
      <c r="P151" s="59"/>
      <c r="Q151" s="89">
        <v>105.5</v>
      </c>
      <c r="R151" s="89"/>
      <c r="S151" s="10">
        <v>4.0419999999999996E-3</v>
      </c>
      <c r="T151" s="10">
        <v>0.48399999999999999</v>
      </c>
      <c r="U151" s="10">
        <v>0.78500000000000003</v>
      </c>
      <c r="V151" s="5"/>
    </row>
    <row r="152" spans="1:22" x14ac:dyDescent="0.25">
      <c r="A152" s="8" t="s">
        <v>7</v>
      </c>
      <c r="B152" s="31">
        <v>0.3</v>
      </c>
      <c r="C152" s="10">
        <v>4.0000000000000001E-3</v>
      </c>
      <c r="D152" s="10">
        <v>0.40300000000000002</v>
      </c>
      <c r="E152" s="16">
        <f t="shared" si="48"/>
        <v>0.40290000632104039</v>
      </c>
      <c r="F152" s="16">
        <f t="shared" si="49"/>
        <v>0.92030450481204618</v>
      </c>
      <c r="G152" s="26">
        <f>(5.01*(B152^0.59)*Z$69)/(86.4*I$19)</f>
        <v>0.3831148774666619</v>
      </c>
      <c r="H152" s="42">
        <f t="shared" si="50"/>
        <v>16.439629582794716</v>
      </c>
      <c r="I152" s="42">
        <f t="shared" si="51"/>
        <v>5.472277314820241</v>
      </c>
      <c r="J152" s="32">
        <v>1.1000000000000001</v>
      </c>
      <c r="K152" s="56"/>
      <c r="L152" s="56"/>
      <c r="M152" s="22">
        <f t="shared" si="46"/>
        <v>-99.269745286072393</v>
      </c>
      <c r="N152" s="10">
        <f t="shared" si="47"/>
        <v>-0.9517712874982972</v>
      </c>
      <c r="O152" s="60"/>
      <c r="P152" s="59"/>
      <c r="Q152" s="89">
        <v>104.3</v>
      </c>
      <c r="R152" s="89"/>
      <c r="S152" s="10">
        <v>6.0800000000000003E-3</v>
      </c>
      <c r="T152" s="10">
        <v>0.59499999999999997</v>
      </c>
      <c r="U152" s="10">
        <v>0.86899999999999999</v>
      </c>
      <c r="V152" s="5"/>
    </row>
    <row r="153" spans="1:22" x14ac:dyDescent="0.25">
      <c r="A153" s="8" t="s">
        <v>8</v>
      </c>
      <c r="B153" s="31">
        <v>19.399999999999999</v>
      </c>
      <c r="C153" s="10">
        <v>5.0000000000000001E-3</v>
      </c>
      <c r="D153" s="1">
        <v>2778</v>
      </c>
      <c r="E153" s="16">
        <f t="shared" si="48"/>
        <v>2.7778603923901568</v>
      </c>
      <c r="F153" s="16">
        <f t="shared" si="49"/>
        <v>0.70920288507108609</v>
      </c>
      <c r="G153" s="26">
        <f>(5.01*(B153^0.59)*Z$69)/(86.4*I$20)</f>
        <v>4.6330921342043574</v>
      </c>
      <c r="H153" s="42">
        <f t="shared" si="50"/>
        <v>15.280215633394295</v>
      </c>
      <c r="I153" s="42">
        <f t="shared" si="51"/>
        <v>5.086341937028628</v>
      </c>
      <c r="J153" s="32">
        <v>1.1000000000000001</v>
      </c>
      <c r="K153" s="56"/>
      <c r="L153" s="56"/>
      <c r="M153" s="22">
        <f t="shared" si="46"/>
        <v>-80.169745286072384</v>
      </c>
      <c r="N153" s="10">
        <f t="shared" si="47"/>
        <v>-0.7898497072519447</v>
      </c>
      <c r="O153" s="59"/>
      <c r="P153" s="59"/>
      <c r="Q153" s="89">
        <v>101.5</v>
      </c>
      <c r="R153" s="89"/>
      <c r="S153" s="10">
        <v>4.4200000000000003E-3</v>
      </c>
      <c r="T153" s="10">
        <v>0.35</v>
      </c>
      <c r="U153" s="10">
        <v>0.69</v>
      </c>
      <c r="V153" s="5"/>
    </row>
    <row r="154" spans="1:22" ht="18.75" x14ac:dyDescent="0.3">
      <c r="A154" s="8" t="s">
        <v>9</v>
      </c>
      <c r="B154" s="31">
        <v>6.8</v>
      </c>
      <c r="C154" s="10">
        <v>4.1000000000000003E-3</v>
      </c>
      <c r="D154" s="1">
        <v>1946</v>
      </c>
      <c r="E154" s="16">
        <f t="shared" si="48"/>
        <v>1.9464866921925275</v>
      </c>
      <c r="F154" s="16">
        <f t="shared" si="49"/>
        <v>0.80870630498788887</v>
      </c>
      <c r="G154" s="26">
        <f>(5.01*(B154^0.59)*Z$69)/(86.4*I$21)</f>
        <v>2.4155038578434525</v>
      </c>
      <c r="H154" s="42">
        <f t="shared" si="50"/>
        <v>57.742589117162048</v>
      </c>
      <c r="I154" s="42">
        <f t="shared" si="51"/>
        <v>5.2382895023407787</v>
      </c>
      <c r="J154" s="32">
        <v>2.4</v>
      </c>
      <c r="K154" s="56"/>
      <c r="L154" s="56"/>
      <c r="M154" s="22">
        <f t="shared" si="46"/>
        <v>-92.769745286072393</v>
      </c>
      <c r="N154" s="10">
        <f t="shared" si="47"/>
        <v>-0.85502069388085156</v>
      </c>
      <c r="O154" s="61"/>
      <c r="P154" s="62"/>
      <c r="Q154" s="89">
        <v>108.5</v>
      </c>
      <c r="R154" s="89"/>
      <c r="S154" s="10">
        <v>4.1099999999999999E-3</v>
      </c>
      <c r="T154" s="10">
        <v>0.40100000000000002</v>
      </c>
      <c r="U154" s="10">
        <v>0.72</v>
      </c>
      <c r="V154" s="5"/>
    </row>
    <row r="155" spans="1:22" x14ac:dyDescent="0.25">
      <c r="A155" s="8" t="s">
        <v>10</v>
      </c>
      <c r="B155" s="31">
        <v>0.2</v>
      </c>
      <c r="C155" s="10">
        <v>4.0000000000000001E-3</v>
      </c>
      <c r="D155" s="10">
        <v>0.80400000000000005</v>
      </c>
      <c r="E155" s="16">
        <f t="shared" si="48"/>
        <v>0.80386795731370575</v>
      </c>
      <c r="F155" s="16">
        <f t="shared" si="49"/>
        <v>0.78798151570609321</v>
      </c>
      <c r="G155" s="26">
        <f>(5.01*(B155^0.59)*Z$69)/(86.4*I$22)</f>
        <v>0.31165608694477714</v>
      </c>
      <c r="H155" s="42">
        <f t="shared" si="50"/>
        <v>262.57666581458659</v>
      </c>
      <c r="I155" s="42">
        <f t="shared" si="51"/>
        <v>5.3150536171537821</v>
      </c>
      <c r="J155" s="32">
        <v>3.9</v>
      </c>
      <c r="K155" s="56"/>
      <c r="L155" s="56"/>
      <c r="M155" s="22">
        <f t="shared" si="46"/>
        <v>-99.369745286072387</v>
      </c>
      <c r="N155" s="10">
        <f t="shared" si="47"/>
        <v>-0.88722986862564635</v>
      </c>
      <c r="O155" s="10"/>
      <c r="P155" s="22"/>
      <c r="Q155" s="89">
        <v>112</v>
      </c>
      <c r="R155" s="89"/>
      <c r="S155" s="10">
        <v>4.0000000000000001E-3</v>
      </c>
      <c r="T155" s="10">
        <v>0.54</v>
      </c>
      <c r="U155" s="10">
        <v>0.80100000000000005</v>
      </c>
      <c r="V155" s="5"/>
    </row>
    <row r="156" spans="1:22" x14ac:dyDescent="0.25">
      <c r="A156" s="8" t="s">
        <v>11</v>
      </c>
      <c r="B156" s="31">
        <v>9.3000000000000007</v>
      </c>
      <c r="C156" s="10">
        <v>4.3E-3</v>
      </c>
      <c r="D156" s="10">
        <v>1.58</v>
      </c>
      <c r="E156" s="16">
        <f t="shared" si="48"/>
        <v>1.5803728374344348</v>
      </c>
      <c r="F156" s="16">
        <f t="shared" si="49"/>
        <v>0.72561857402166008</v>
      </c>
      <c r="G156" s="26">
        <f>(5.01*(B156^0.59)*Z$69)/(86.4*I$23)</f>
        <v>2.9055771841932385</v>
      </c>
      <c r="H156" s="42">
        <f t="shared" si="50"/>
        <v>245.8763794195402</v>
      </c>
      <c r="I156" s="42">
        <f t="shared" si="51"/>
        <v>4.9770078988256587</v>
      </c>
      <c r="J156" s="32">
        <v>3.9</v>
      </c>
      <c r="K156" s="56"/>
      <c r="L156" s="56"/>
      <c r="M156" s="22">
        <f t="shared" si="46"/>
        <v>-90.269745286072393</v>
      </c>
      <c r="N156" s="10">
        <f t="shared" si="47"/>
        <v>-0.74173989553058661</v>
      </c>
      <c r="O156" s="22"/>
      <c r="P156" s="22"/>
      <c r="Q156" s="89">
        <v>121.7</v>
      </c>
      <c r="R156" s="89"/>
      <c r="S156" s="10">
        <v>4.3E-3</v>
      </c>
      <c r="T156" s="10">
        <v>0.41799999999999998</v>
      </c>
      <c r="U156" s="10">
        <v>0.71899999999999997</v>
      </c>
      <c r="V156" s="5"/>
    </row>
    <row r="157" spans="1:22" x14ac:dyDescent="0.25">
      <c r="A157" s="8" t="s">
        <v>12</v>
      </c>
      <c r="B157" s="12">
        <v>1990</v>
      </c>
      <c r="C157" s="12">
        <v>1990</v>
      </c>
      <c r="D157" s="12">
        <v>1990</v>
      </c>
      <c r="E157" s="12">
        <v>1990</v>
      </c>
      <c r="F157" s="12">
        <v>1990</v>
      </c>
      <c r="G157" s="12">
        <v>1990</v>
      </c>
      <c r="H157" s="12">
        <v>1990</v>
      </c>
      <c r="I157" s="12">
        <v>1990</v>
      </c>
      <c r="J157" s="47" t="s">
        <v>70</v>
      </c>
      <c r="K157" s="27"/>
      <c r="L157" s="27"/>
      <c r="M157" s="39" t="s">
        <v>60</v>
      </c>
      <c r="N157" s="39" t="s">
        <v>73</v>
      </c>
      <c r="O157" s="105" t="s">
        <v>57</v>
      </c>
      <c r="P157" s="105"/>
      <c r="Q157" s="10"/>
      <c r="R157" s="10"/>
    </row>
    <row r="158" spans="1:22" x14ac:dyDescent="0.25">
      <c r="A158" s="8" t="s">
        <v>0</v>
      </c>
      <c r="B158" s="31">
        <v>88</v>
      </c>
      <c r="C158" s="10"/>
      <c r="D158" s="1">
        <v>8202</v>
      </c>
      <c r="E158" s="16"/>
      <c r="F158" s="16"/>
      <c r="G158" s="26">
        <f>(5.01*(B158^0.59)*Z$69)/(86.4*I$12)</f>
        <v>10.941383827856773</v>
      </c>
      <c r="H158" s="42">
        <f>L$30^(J158-(0.6458446*LN(P$34))-(9.53942*N158*(P$34/P$33))+(4.8904*N158))</f>
        <v>329.38350276758638</v>
      </c>
      <c r="I158" s="42">
        <f>L$30^(K$28-(0.6458446*LN(P$34))-(9.53942*N158*(P$34/P$33))+(4.8904*N158))</f>
        <v>2.995834230398581</v>
      </c>
      <c r="J158" s="32">
        <v>4.7</v>
      </c>
      <c r="K158" s="56"/>
      <c r="L158" s="56"/>
      <c r="M158" s="22">
        <f>(B158-(0.74*P$159))</f>
        <v>48.334401886559561</v>
      </c>
      <c r="N158" s="10">
        <f>M158/Q158</f>
        <v>0.3820901334905894</v>
      </c>
      <c r="O158" s="50" t="s">
        <v>58</v>
      </c>
      <c r="P158" s="22">
        <f>(B158+B159+B160+B161+B162+B163+B164+B165+B166+B167+B168+B169)/12</f>
        <v>43.266666666666673</v>
      </c>
      <c r="Q158" s="89">
        <v>126.5</v>
      </c>
      <c r="R158" s="89"/>
    </row>
    <row r="159" spans="1:22" x14ac:dyDescent="0.25">
      <c r="A159" s="8" t="s">
        <v>1</v>
      </c>
      <c r="B159" s="31">
        <v>117.7</v>
      </c>
      <c r="C159" s="10"/>
      <c r="D159" s="1">
        <v>11571</v>
      </c>
      <c r="E159" s="16"/>
      <c r="F159" s="16"/>
      <c r="G159" s="26">
        <f>(5.01*(B159^0.59)*Z$69)/(86.4*J$13)</f>
        <v>13.885108763028594</v>
      </c>
      <c r="H159" s="42">
        <f>L$30^(J159-(0.6458446*LN(P$34))-(9.53942*N159*(P$34/P$33))+(4.8904*N159))</f>
        <v>287.79397842619011</v>
      </c>
      <c r="I159" s="42">
        <f>L$30^(K$28-(0.6458446*LN(P$34))-(9.53942*N159*(P$34/P$33))+(4.8904*N159))</f>
        <v>2.6175659819858335</v>
      </c>
      <c r="J159" s="32">
        <v>4.7</v>
      </c>
      <c r="K159" s="56"/>
      <c r="L159" s="56"/>
      <c r="M159" s="22">
        <f t="shared" ref="M159:M169" si="52">(B159-(0.74*P$159))</f>
        <v>78.034401886559564</v>
      </c>
      <c r="N159" s="10">
        <f t="shared" ref="N159:N169" si="53">M159/Q159</f>
        <v>0.68092846323350409</v>
      </c>
      <c r="O159" s="50" t="s">
        <v>66</v>
      </c>
      <c r="P159" s="22">
        <f>((((B158-P158)^2+(B159-P158)^2+(B160-P158)^2+(B161-P158)^2+(B162-P158)^2+(B163-P158)^2+(B164-P158)^2+(B165-P158)^2+(B166-P158)^2+(B167-P158)^2+(B168-P158)^2+(B169-P158)^2))/(12-1))^0.5</f>
        <v>53.602159612757355</v>
      </c>
      <c r="Q159" s="89">
        <v>114.6</v>
      </c>
      <c r="R159" s="89"/>
    </row>
    <row r="160" spans="1:22" x14ac:dyDescent="0.25">
      <c r="A160" s="8" t="s">
        <v>2</v>
      </c>
      <c r="B160" s="31">
        <v>140.1</v>
      </c>
      <c r="C160" s="10"/>
      <c r="D160" s="1">
        <v>13037</v>
      </c>
      <c r="E160" s="16"/>
      <c r="F160" s="16"/>
      <c r="G160" s="26">
        <f>(5.01*(B160^0.59)*Z$69)/(86.4*I$14)</f>
        <v>14.39547424175705</v>
      </c>
      <c r="H160" s="42">
        <f>L$30^(J160-(0.6458446*LN(P$34))-(9.53942*N160*(P$34/P$33))+(4.8904*N160))</f>
        <v>276.42015731704862</v>
      </c>
      <c r="I160" s="42">
        <f>L$30^(K$28-(0.6458446*LN(P$34))-(9.53942*N160*(P$34/P$33))+(4.8904*N160))</f>
        <v>2.5141179272930692</v>
      </c>
      <c r="J160" s="32">
        <v>4.7</v>
      </c>
      <c r="K160" s="56"/>
      <c r="L160" s="58"/>
      <c r="M160" s="22">
        <f t="shared" si="52"/>
        <v>100.43440188655956</v>
      </c>
      <c r="N160" s="10">
        <f t="shared" si="53"/>
        <v>0.77020246845521123</v>
      </c>
      <c r="O160" s="22"/>
      <c r="P160" s="22"/>
      <c r="Q160" s="89">
        <v>130.4</v>
      </c>
      <c r="R160" s="89"/>
    </row>
    <row r="161" spans="1:18" x14ac:dyDescent="0.25">
      <c r="A161" s="8" t="s">
        <v>3</v>
      </c>
      <c r="B161" s="31">
        <v>105.5</v>
      </c>
      <c r="C161" s="10"/>
      <c r="D161" s="1">
        <v>11657</v>
      </c>
      <c r="E161" s="16"/>
      <c r="F161" s="16"/>
      <c r="G161" s="26">
        <f>(5.01*(B161^0.59)*Z$69)/(86.4*I$15)</f>
        <v>12.583077377853018</v>
      </c>
      <c r="H161" s="42">
        <f>L$30^(J161-(0.6458446*LN(P$34))-(9.53942*N161*(P$34/P$33))+(4.8904*N161))</f>
        <v>310.28545439464506</v>
      </c>
      <c r="I161" s="42">
        <f>L$30^(K$28-(0.6458446*LN(P$34))-(9.53942*N161*(P$34/P$33))+(4.8904*N161))</f>
        <v>2.8221321883450794</v>
      </c>
      <c r="J161" s="32">
        <v>4.7</v>
      </c>
      <c r="K161" s="56"/>
      <c r="L161" s="56"/>
      <c r="M161" s="22">
        <f t="shared" si="52"/>
        <v>65.834401886559561</v>
      </c>
      <c r="N161" s="10">
        <f t="shared" si="53"/>
        <v>0.51433126473874657</v>
      </c>
      <c r="O161" s="22"/>
      <c r="P161" s="22"/>
      <c r="Q161" s="89">
        <v>128</v>
      </c>
      <c r="R161" s="89"/>
    </row>
    <row r="162" spans="1:18" x14ac:dyDescent="0.25">
      <c r="A162" s="8" t="s">
        <v>4</v>
      </c>
      <c r="B162" s="31">
        <v>15.1</v>
      </c>
      <c r="C162" s="10"/>
      <c r="D162" s="10">
        <v>4.78</v>
      </c>
      <c r="E162" s="16"/>
      <c r="F162" s="16"/>
      <c r="G162" s="26">
        <f>(5.01*(B162^0.59)*Z$69)/(86.4*I$16)</f>
        <v>3.8674425925435818</v>
      </c>
      <c r="H162" s="42">
        <f t="shared" ref="H162:H169" si="54">L$30^(J162-(0.6458446*LN(P$34))-(9.53942*N162*(P$34/P$33))+(4.8904*N162))</f>
        <v>428.19306307158126</v>
      </c>
      <c r="I162" s="42">
        <f t="shared" ref="I162:I169" si="55">L$30^(K$28-(0.6458446*LN(P$34))-(9.53942*N162*(P$34/P$33))+(4.8904*N162))</f>
        <v>3.8945345616601958</v>
      </c>
      <c r="J162" s="32">
        <v>4.7</v>
      </c>
      <c r="K162" s="56"/>
      <c r="L162" s="56"/>
      <c r="M162" s="22">
        <f t="shared" si="52"/>
        <v>-24.565598113440437</v>
      </c>
      <c r="N162" s="10">
        <f t="shared" si="53"/>
        <v>-0.19875079379806179</v>
      </c>
      <c r="O162" s="59"/>
      <c r="P162" s="59"/>
      <c r="Q162" s="89">
        <v>123.6</v>
      </c>
      <c r="R162" s="89"/>
    </row>
    <row r="163" spans="1:18" x14ac:dyDescent="0.25">
      <c r="A163" s="8" t="s">
        <v>5</v>
      </c>
      <c r="B163" s="31">
        <v>15.1</v>
      </c>
      <c r="C163" s="10"/>
      <c r="D163" s="1">
        <v>2856</v>
      </c>
      <c r="E163" s="16"/>
      <c r="F163" s="16"/>
      <c r="G163" s="26">
        <f>(5.01*(B163^0.59)*Z$69)/(86.4*I$17)</f>
        <v>3.9963573456283679</v>
      </c>
      <c r="H163" s="42">
        <f t="shared" si="54"/>
        <v>194.6364976011638</v>
      </c>
      <c r="I163" s="42">
        <f t="shared" si="55"/>
        <v>3.9398147485645336</v>
      </c>
      <c r="J163" s="32">
        <v>3.9</v>
      </c>
      <c r="K163" s="56"/>
      <c r="L163" s="56"/>
      <c r="M163" s="22">
        <f t="shared" si="52"/>
        <v>-24.565598113440437</v>
      </c>
      <c r="N163" s="10">
        <f t="shared" si="53"/>
        <v>-0.22434336176657935</v>
      </c>
      <c r="O163" s="59"/>
      <c r="P163" s="59"/>
      <c r="Q163" s="89">
        <v>109.5</v>
      </c>
      <c r="R163" s="89"/>
    </row>
    <row r="164" spans="1:18" x14ac:dyDescent="0.25">
      <c r="A164" s="8" t="s">
        <v>6</v>
      </c>
      <c r="B164" s="31">
        <v>2.1</v>
      </c>
      <c r="C164" s="10"/>
      <c r="D164" s="1">
        <v>1388</v>
      </c>
      <c r="E164" s="16"/>
      <c r="F164" s="16"/>
      <c r="G164" s="26">
        <f>(5.01*(B164^0.59)*Z$69)/(86.4*I$18)</f>
        <v>1.2076382519196438</v>
      </c>
      <c r="H164" s="42">
        <f t="shared" si="54"/>
        <v>46.091671503018034</v>
      </c>
      <c r="I164" s="42">
        <f t="shared" si="55"/>
        <v>4.1813421024420103</v>
      </c>
      <c r="J164" s="32">
        <v>2.4</v>
      </c>
      <c r="K164" s="56"/>
      <c r="L164" s="56"/>
      <c r="M164" s="22">
        <f>(B164-(0.74*P$159))</f>
        <v>-37.565598113440437</v>
      </c>
      <c r="N164" s="10">
        <f t="shared" si="53"/>
        <v>-0.35607202003261079</v>
      </c>
      <c r="O164" s="59"/>
      <c r="P164" s="59"/>
      <c r="Q164" s="89">
        <v>105.5</v>
      </c>
      <c r="R164" s="89"/>
    </row>
    <row r="165" spans="1:18" x14ac:dyDescent="0.25">
      <c r="A165" s="8" t="s">
        <v>7</v>
      </c>
      <c r="B165" s="31">
        <v>0</v>
      </c>
      <c r="C165" s="10"/>
      <c r="D165" s="10">
        <v>0.874</v>
      </c>
      <c r="E165" s="16"/>
      <c r="F165" s="16"/>
      <c r="G165" s="26">
        <f>(5.01*(B165^0.59)*Z$69)/(86.4*I$19)</f>
        <v>0</v>
      </c>
      <c r="H165" s="42">
        <f t="shared" si="54"/>
        <v>12.69967984556531</v>
      </c>
      <c r="I165" s="42">
        <f t="shared" si="55"/>
        <v>4.2273561928122581</v>
      </c>
      <c r="J165" s="32">
        <v>1.1000000000000001</v>
      </c>
      <c r="K165" s="56"/>
      <c r="L165" s="56"/>
      <c r="M165" s="22">
        <f t="shared" si="52"/>
        <v>-39.665598113440439</v>
      </c>
      <c r="N165" s="10">
        <f t="shared" si="53"/>
        <v>-0.38030295410777026</v>
      </c>
      <c r="O165" s="60"/>
      <c r="P165" s="59"/>
      <c r="Q165" s="89">
        <v>104.3</v>
      </c>
      <c r="R165" s="89"/>
    </row>
    <row r="166" spans="1:18" x14ac:dyDescent="0.25">
      <c r="A166" s="8" t="s">
        <v>8</v>
      </c>
      <c r="B166" s="31">
        <v>0.1</v>
      </c>
      <c r="C166" s="10"/>
      <c r="D166" s="10">
        <v>0.127</v>
      </c>
      <c r="E166" s="16"/>
      <c r="F166" s="16"/>
      <c r="G166" s="26">
        <f>(5.01*(B166^0.59)*Z$69)/(86.4*I$20)</f>
        <v>0.20704651080017727</v>
      </c>
      <c r="H166" s="42">
        <f t="shared" si="54"/>
        <v>12.754324120914207</v>
      </c>
      <c r="I166" s="42">
        <f t="shared" si="55"/>
        <v>4.2455456919655443</v>
      </c>
      <c r="J166" s="32">
        <v>1.1000000000000001</v>
      </c>
      <c r="K166" s="56"/>
      <c r="L166" s="56"/>
      <c r="M166" s="22">
        <f t="shared" si="52"/>
        <v>-39.565598113440437</v>
      </c>
      <c r="N166" s="10">
        <f t="shared" si="53"/>
        <v>-0.38980884840828017</v>
      </c>
      <c r="O166" s="59"/>
      <c r="P166" s="59"/>
      <c r="Q166" s="89">
        <v>101.5</v>
      </c>
      <c r="R166" s="89"/>
    </row>
    <row r="167" spans="1:18" ht="18.75" x14ac:dyDescent="0.3">
      <c r="A167" s="8" t="s">
        <v>9</v>
      </c>
      <c r="B167" s="31">
        <v>0.1</v>
      </c>
      <c r="C167" s="10"/>
      <c r="D167" s="10">
        <v>0.13300000000000001</v>
      </c>
      <c r="E167" s="16"/>
      <c r="F167" s="16"/>
      <c r="G167" s="26">
        <f>(5.01*(B167^0.59)*Z$69)/(86.4*I$21)</f>
        <v>0.20036759109694574</v>
      </c>
      <c r="H167" s="42">
        <f t="shared" si="54"/>
        <v>46.270804980510114</v>
      </c>
      <c r="I167" s="42">
        <f t="shared" si="55"/>
        <v>4.1975927248857055</v>
      </c>
      <c r="J167" s="32">
        <v>2.4</v>
      </c>
      <c r="K167" s="56"/>
      <c r="L167" s="56"/>
      <c r="M167" s="22">
        <f t="shared" si="52"/>
        <v>-39.565598113440437</v>
      </c>
      <c r="N167" s="10">
        <f t="shared" si="53"/>
        <v>-0.36465989044645564</v>
      </c>
      <c r="O167" s="61"/>
      <c r="P167" s="62"/>
      <c r="Q167" s="89">
        <v>108.5</v>
      </c>
      <c r="R167" s="89"/>
    </row>
    <row r="168" spans="1:18" x14ac:dyDescent="0.25">
      <c r="A168" s="8" t="s">
        <v>10</v>
      </c>
      <c r="B168" s="31">
        <v>0</v>
      </c>
      <c r="C168" s="10"/>
      <c r="D168" s="10">
        <v>6.7000000000000004E-2</v>
      </c>
      <c r="E168" s="16"/>
      <c r="F168" s="16"/>
      <c r="G168" s="26">
        <f>(5.01*(B168^0.59)*Z$69)/(86.4*I$22)</f>
        <v>0</v>
      </c>
      <c r="H168" s="42">
        <f t="shared" si="54"/>
        <v>206.38995442516529</v>
      </c>
      <c r="I168" s="42">
        <f t="shared" si="55"/>
        <v>4.1777271807780725</v>
      </c>
      <c r="J168" s="32">
        <v>3.9</v>
      </c>
      <c r="K168" s="56"/>
      <c r="L168" s="56"/>
      <c r="M168" s="22">
        <f t="shared" si="52"/>
        <v>-39.665598113440439</v>
      </c>
      <c r="N168" s="10">
        <f t="shared" si="53"/>
        <v>-0.35415712601286103</v>
      </c>
      <c r="O168" s="62"/>
      <c r="P168" s="59"/>
      <c r="Q168" s="89">
        <v>112</v>
      </c>
      <c r="R168" s="89"/>
    </row>
    <row r="169" spans="1:18" x14ac:dyDescent="0.25">
      <c r="A169" s="8" t="s">
        <v>11</v>
      </c>
      <c r="B169" s="31">
        <v>35.4</v>
      </c>
      <c r="C169" s="10"/>
      <c r="D169" s="1">
        <v>4134</v>
      </c>
      <c r="E169" s="16"/>
      <c r="F169" s="16"/>
      <c r="G169" s="26">
        <f>(5.01*(B169^0.59)*Z$69)/(86.4*I$23)</f>
        <v>6.3935107766179229</v>
      </c>
      <c r="H169" s="42">
        <f t="shared" si="54"/>
        <v>178.68681484650691</v>
      </c>
      <c r="I169" s="42">
        <f t="shared" si="55"/>
        <v>3.6169626826560743</v>
      </c>
      <c r="J169" s="32">
        <v>3.9</v>
      </c>
      <c r="K169" s="56"/>
      <c r="L169" s="56"/>
      <c r="M169" s="22">
        <f t="shared" si="52"/>
        <v>-4.2655981134404399</v>
      </c>
      <c r="N169" s="10">
        <f t="shared" si="53"/>
        <v>-3.5050107752181099E-2</v>
      </c>
      <c r="O169" s="22"/>
      <c r="P169" s="22"/>
      <c r="Q169" s="89">
        <v>121.7</v>
      </c>
      <c r="R169" s="89"/>
    </row>
    <row r="170" spans="1:18" x14ac:dyDescent="0.25">
      <c r="A170" s="8" t="s">
        <v>12</v>
      </c>
      <c r="B170" s="12">
        <v>1991</v>
      </c>
      <c r="C170" s="12">
        <v>1991</v>
      </c>
      <c r="D170" s="32">
        <v>1991</v>
      </c>
      <c r="E170" s="32">
        <v>1991</v>
      </c>
      <c r="F170" s="32">
        <v>1991</v>
      </c>
      <c r="G170" s="32">
        <v>1991</v>
      </c>
      <c r="H170" s="32">
        <v>1991</v>
      </c>
      <c r="I170" s="32">
        <v>1991</v>
      </c>
      <c r="J170" s="47" t="s">
        <v>70</v>
      </c>
      <c r="K170" s="27"/>
      <c r="L170" s="27"/>
      <c r="M170" s="39" t="s">
        <v>60</v>
      </c>
      <c r="N170" s="39" t="s">
        <v>73</v>
      </c>
      <c r="O170" s="105" t="s">
        <v>57</v>
      </c>
      <c r="P170" s="105"/>
      <c r="Q170" s="10"/>
      <c r="R170" s="10"/>
    </row>
    <row r="171" spans="1:18" x14ac:dyDescent="0.25">
      <c r="A171" s="8" t="s">
        <v>0</v>
      </c>
      <c r="B171" s="31">
        <v>125.4</v>
      </c>
      <c r="C171" s="10"/>
      <c r="D171" s="1">
        <v>10949</v>
      </c>
      <c r="E171" s="16"/>
      <c r="F171" s="16"/>
      <c r="G171" s="26">
        <f>(5.01*(B171^0.59)*Z$69)/(86.4*I$12)</f>
        <v>13.484132874811014</v>
      </c>
      <c r="H171" s="42">
        <f>L$30^(J171-(0.6458446*LN(P$34))-(9.53942*N171*(P$34/P$33))+(4.8904*N171))</f>
        <v>296.64280373344872</v>
      </c>
      <c r="I171" s="42">
        <f>L$30^(K$28-(0.6458446*LN(P$34))-(9.53942*N171*(P$34/P$33))+(4.8904*N171))</f>
        <v>2.6980485001798566</v>
      </c>
      <c r="J171" s="32">
        <v>4.7</v>
      </c>
      <c r="K171" s="56"/>
      <c r="L171" s="56"/>
      <c r="M171" s="22">
        <f>(B171-(0.74*P$172))</f>
        <v>77.655894367614721</v>
      </c>
      <c r="N171" s="10">
        <f>M171/Q171</f>
        <v>0.61388058788628241</v>
      </c>
      <c r="O171" s="50" t="s">
        <v>58</v>
      </c>
      <c r="P171" s="22">
        <f>(B171+B172+B173+B174+B175+B176+B177+B178+B179+B180+B181+B182)/12</f>
        <v>52.725000000000001</v>
      </c>
      <c r="Q171" s="89">
        <v>126.5</v>
      </c>
      <c r="R171" s="89"/>
    </row>
    <row r="172" spans="1:18" x14ac:dyDescent="0.25">
      <c r="A172" s="8" t="s">
        <v>1</v>
      </c>
      <c r="B172" s="31">
        <v>120.9</v>
      </c>
      <c r="C172" s="10"/>
      <c r="D172" s="1">
        <v>12367</v>
      </c>
      <c r="E172" s="16"/>
      <c r="F172" s="16"/>
      <c r="G172" s="26">
        <f>(5.01*(B172^0.59)*Z$69)/(86.4*J$13)</f>
        <v>14.106610995615657</v>
      </c>
      <c r="H172" s="42">
        <f>L$30^(J172-(0.6458446*LN(P$34))-(9.53942*N172*(P$34/P$33))+(4.8904*N172))</f>
        <v>293.38115315940706</v>
      </c>
      <c r="I172" s="42">
        <f>L$30^(K$28-(0.6458446*LN(P$34))-(9.53942*N172*(P$34/P$33))+(4.8904*N172))</f>
        <v>2.6683828844000397</v>
      </c>
      <c r="J172" s="32">
        <v>4.7</v>
      </c>
      <c r="K172" s="56"/>
      <c r="L172" s="56"/>
      <c r="M172" s="22">
        <f t="shared" ref="M172:M182" si="56">(B172-(0.74*P$172))</f>
        <v>73.155894367614721</v>
      </c>
      <c r="N172" s="10">
        <f t="shared" ref="N172:N182" si="57">M172/Q172</f>
        <v>0.63835858959524194</v>
      </c>
      <c r="O172" s="50" t="s">
        <v>66</v>
      </c>
      <c r="P172" s="22">
        <f>((((B171-P171)^2+(B172-P171)^2+(B173-P171)^2+(B174-P171)^2+(B175-P171)^2+(B176-P171)^2+(B177-P171)^2+(B178-P171)^2+(B179-P171)^2+(B180-P171)^2+(B181-P171)^2+(B182-P171)^2))/(12-1))^0.5</f>
        <v>64.519061665385522</v>
      </c>
      <c r="Q172" s="89">
        <v>114.6</v>
      </c>
      <c r="R172" s="89"/>
    </row>
    <row r="173" spans="1:18" x14ac:dyDescent="0.25">
      <c r="A173" s="8" t="s">
        <v>2</v>
      </c>
      <c r="B173" s="31">
        <v>185.9</v>
      </c>
      <c r="C173" s="10"/>
      <c r="D173" s="1">
        <v>15508</v>
      </c>
      <c r="E173" s="16"/>
      <c r="F173" s="16"/>
      <c r="G173" s="26">
        <f>(5.01*(B173^0.59)*Z$69)/(86.4*I$14)</f>
        <v>17.009921795430145</v>
      </c>
      <c r="H173" s="42">
        <f>L$30^(J173-(0.6458446*LN(P$34))-(9.53942*N173*(P$34/P$33))+(4.8904*N173))</f>
        <v>242.56350716598953</v>
      </c>
      <c r="I173" s="42">
        <f>L$30^(K$28-(0.6458446*LN(P$34))-(9.53942*N173*(P$34/P$33))+(4.8904*N173))</f>
        <v>2.2061823124339943</v>
      </c>
      <c r="J173" s="32">
        <v>4.7</v>
      </c>
      <c r="K173" s="56"/>
      <c r="L173" s="58"/>
      <c r="M173" s="22">
        <f t="shared" si="56"/>
        <v>138.15589436761474</v>
      </c>
      <c r="N173" s="10">
        <f t="shared" si="57"/>
        <v>1.0594777175430576</v>
      </c>
      <c r="O173" s="22"/>
      <c r="P173" s="22"/>
      <c r="Q173" s="89">
        <v>130.4</v>
      </c>
      <c r="R173" s="89"/>
    </row>
    <row r="174" spans="1:18" x14ac:dyDescent="0.25">
      <c r="A174" s="8" t="s">
        <v>3</v>
      </c>
      <c r="B174" s="31">
        <v>103.7</v>
      </c>
      <c r="C174" s="10"/>
      <c r="D174" s="1">
        <v>12336</v>
      </c>
      <c r="E174" s="16"/>
      <c r="F174" s="16"/>
      <c r="G174" s="26">
        <f>(5.01*(B174^0.59)*Z$69)/(86.4*I$15)</f>
        <v>12.455965088669808</v>
      </c>
      <c r="H174" s="42">
        <f>L$30^(J174-(0.6458446*LN(P$34))-(9.53942*N174*(P$34/P$33))+(4.8904*N174))</f>
        <v>321.29223788850334</v>
      </c>
      <c r="I174" s="42">
        <f>L$30^(K$28-(0.6458446*LN(P$34))-(9.53942*N174*(P$34/P$33))+(4.8904*N174))</f>
        <v>2.9222419342200974</v>
      </c>
      <c r="J174" s="32">
        <v>4.7</v>
      </c>
      <c r="K174" s="56"/>
      <c r="L174" s="56"/>
      <c r="M174" s="22">
        <f>(B174-(0.74*P$172))</f>
        <v>55.955894367614718</v>
      </c>
      <c r="N174" s="10">
        <f t="shared" si="57"/>
        <v>0.43715542474698998</v>
      </c>
      <c r="O174" s="22"/>
      <c r="P174" s="22"/>
      <c r="Q174" s="89">
        <v>128</v>
      </c>
      <c r="R174" s="89"/>
    </row>
    <row r="175" spans="1:18" x14ac:dyDescent="0.25">
      <c r="A175" s="8" t="s">
        <v>4</v>
      </c>
      <c r="B175" s="31">
        <v>52.8</v>
      </c>
      <c r="C175" s="10"/>
      <c r="D175" s="1">
        <v>7972</v>
      </c>
      <c r="E175" s="16"/>
      <c r="F175" s="16"/>
      <c r="G175" s="26">
        <f>(5.01*(B175^0.59)*Z$69)/(86.4*I$16)</f>
        <v>8.0943409022594413</v>
      </c>
      <c r="H175" s="42">
        <f t="shared" ref="H175:H182" si="58">L$30^(J175-(0.6458446*LN(P$34))-(9.53942*N175*(P$34/P$33))+(4.8904*N175))</f>
        <v>384.26309619516513</v>
      </c>
      <c r="I175" s="42">
        <f t="shared" ref="I175:I182" si="59">L$30^(K$28-(0.6458446*LN(P$34))-(9.53942*N175*(P$34/P$33))+(4.8904*N175))</f>
        <v>3.4949793398508451</v>
      </c>
      <c r="J175" s="32">
        <v>4.7</v>
      </c>
      <c r="K175" s="56"/>
      <c r="L175" s="56"/>
      <c r="M175" s="22">
        <f t="shared" si="56"/>
        <v>5.0558943676147123</v>
      </c>
      <c r="N175" s="10">
        <f t="shared" si="57"/>
        <v>4.0905294236364992E-2</v>
      </c>
      <c r="O175" s="59"/>
      <c r="P175" s="59"/>
      <c r="Q175" s="89">
        <v>123.6</v>
      </c>
      <c r="R175" s="89"/>
    </row>
    <row r="176" spans="1:18" x14ac:dyDescent="0.25">
      <c r="A176" s="8" t="s">
        <v>5</v>
      </c>
      <c r="B176" s="31">
        <v>13.9</v>
      </c>
      <c r="C176" s="10"/>
      <c r="D176" s="1">
        <v>3694</v>
      </c>
      <c r="E176" s="16"/>
      <c r="F176" s="16"/>
      <c r="G176" s="26">
        <f>(5.01*(B176^0.59)*Z$69)/(86.4*I$17)</f>
        <v>3.8058060153057633</v>
      </c>
      <c r="H176" s="42">
        <f t="shared" si="58"/>
        <v>202.23017023980168</v>
      </c>
      <c r="I176" s="42">
        <f t="shared" si="59"/>
        <v>4.0935251976642775</v>
      </c>
      <c r="J176" s="32">
        <v>3.9</v>
      </c>
      <c r="K176" s="56"/>
      <c r="L176" s="56"/>
      <c r="M176" s="22">
        <f t="shared" si="56"/>
        <v>-33.844105632385286</v>
      </c>
      <c r="N176" s="10">
        <f t="shared" si="57"/>
        <v>-0.30907859025009393</v>
      </c>
      <c r="O176" s="59"/>
      <c r="P176" s="59"/>
      <c r="Q176" s="89">
        <v>109.5</v>
      </c>
      <c r="R176" s="89"/>
    </row>
    <row r="177" spans="1:18" x14ac:dyDescent="0.25">
      <c r="A177" s="8" t="s">
        <v>6</v>
      </c>
      <c r="B177" s="31">
        <v>0</v>
      </c>
      <c r="C177" s="10"/>
      <c r="D177" s="1">
        <v>1186</v>
      </c>
      <c r="E177" s="16"/>
      <c r="F177" s="16"/>
      <c r="G177" s="26">
        <f>(5.01*(B177^0.59)*Z$69)/(86.4*I$18)</f>
        <v>0</v>
      </c>
      <c r="H177" s="42">
        <f t="shared" si="58"/>
        <v>48.144616649691727</v>
      </c>
      <c r="I177" s="42">
        <f t="shared" si="59"/>
        <v>4.3675810843636906</v>
      </c>
      <c r="J177" s="32">
        <v>2.4</v>
      </c>
      <c r="K177" s="56"/>
      <c r="L177" s="56"/>
      <c r="M177" s="22">
        <f>(B177-(0.74*P$172))</f>
        <v>-47.744105632385285</v>
      </c>
      <c r="N177" s="10">
        <f t="shared" si="57"/>
        <v>-0.45255076428801216</v>
      </c>
      <c r="O177" s="59"/>
      <c r="P177" s="59"/>
      <c r="Q177" s="89">
        <v>105.5</v>
      </c>
      <c r="R177" s="89"/>
    </row>
    <row r="178" spans="1:18" x14ac:dyDescent="0.25">
      <c r="A178" s="8" t="s">
        <v>7</v>
      </c>
      <c r="B178" s="31">
        <v>1.3</v>
      </c>
      <c r="C178" s="10"/>
      <c r="D178" s="10">
        <v>0.51300000000000001</v>
      </c>
      <c r="E178" s="16"/>
      <c r="F178" s="16"/>
      <c r="G178" s="26">
        <f>(5.01*(B178^0.59)*Z$69)/(86.4*I$19)</f>
        <v>0.9100265327569651</v>
      </c>
      <c r="H178" s="42">
        <f t="shared" si="58"/>
        <v>13.077999280963157</v>
      </c>
      <c r="I178" s="42">
        <f t="shared" si="59"/>
        <v>4.3532877932571932</v>
      </c>
      <c r="J178" s="32">
        <v>1.1000000000000001</v>
      </c>
      <c r="K178" s="56"/>
      <c r="L178" s="56"/>
      <c r="M178" s="22">
        <f t="shared" si="56"/>
        <v>-46.444105632385288</v>
      </c>
      <c r="N178" s="10">
        <f t="shared" si="57"/>
        <v>-0.44529343846965763</v>
      </c>
      <c r="O178" s="60"/>
      <c r="P178" s="59"/>
      <c r="Q178" s="89">
        <v>104.3</v>
      </c>
      <c r="R178" s="89"/>
    </row>
    <row r="179" spans="1:18" x14ac:dyDescent="0.25">
      <c r="A179" s="8" t="s">
        <v>8</v>
      </c>
      <c r="B179" s="31">
        <v>0.5</v>
      </c>
      <c r="C179" s="10"/>
      <c r="D179" s="10">
        <v>0.41599999999999998</v>
      </c>
      <c r="E179" s="16"/>
      <c r="F179" s="16"/>
      <c r="G179" s="26">
        <f>(5.01*(B179^0.59)*Z$69)/(86.4*I$20)</f>
        <v>0.53513113350589636</v>
      </c>
      <c r="H179" s="42">
        <f t="shared" si="58"/>
        <v>13.197662550903786</v>
      </c>
      <c r="I179" s="42">
        <f t="shared" si="59"/>
        <v>4.3931202356011907</v>
      </c>
      <c r="J179" s="32">
        <v>1.1000000000000001</v>
      </c>
      <c r="K179" s="56"/>
      <c r="L179" s="56"/>
      <c r="M179" s="22">
        <f t="shared" si="56"/>
        <v>-47.244105632385285</v>
      </c>
      <c r="N179" s="10">
        <f t="shared" si="57"/>
        <v>-0.46545916879197324</v>
      </c>
      <c r="O179" s="59"/>
      <c r="P179" s="59"/>
      <c r="Q179" s="89">
        <v>101.5</v>
      </c>
      <c r="R179" s="89"/>
    </row>
    <row r="180" spans="1:18" ht="18.75" x14ac:dyDescent="0.3">
      <c r="A180" s="8" t="s">
        <v>9</v>
      </c>
      <c r="B180" s="31">
        <v>0</v>
      </c>
      <c r="C180" s="10"/>
      <c r="D180" s="10">
        <v>0.35599999999999998</v>
      </c>
      <c r="E180" s="16"/>
      <c r="F180" s="16"/>
      <c r="G180" s="26">
        <f>(5.01*(B180^0.59)*Z$69)/(86.4*I$21)</f>
        <v>0</v>
      </c>
      <c r="H180" s="42">
        <f t="shared" si="58"/>
        <v>47.873281468482489</v>
      </c>
      <c r="I180" s="42">
        <f t="shared" si="59"/>
        <v>4.3429661120689733</v>
      </c>
      <c r="J180" s="32">
        <v>2.4</v>
      </c>
      <c r="K180" s="56"/>
      <c r="L180" s="56"/>
      <c r="M180" s="22">
        <f t="shared" si="56"/>
        <v>-47.744105632385285</v>
      </c>
      <c r="N180" s="10">
        <f t="shared" si="57"/>
        <v>-0.44003783992981832</v>
      </c>
      <c r="O180" s="61"/>
      <c r="P180" s="62"/>
      <c r="Q180" s="89">
        <v>108.5</v>
      </c>
      <c r="R180" s="89"/>
    </row>
    <row r="181" spans="1:18" x14ac:dyDescent="0.25">
      <c r="A181" s="8" t="s">
        <v>10</v>
      </c>
      <c r="B181" s="31">
        <v>6.7</v>
      </c>
      <c r="C181" s="10"/>
      <c r="D181" s="1">
        <v>1206</v>
      </c>
      <c r="E181" s="16"/>
      <c r="F181" s="16"/>
      <c r="G181" s="26">
        <f>(5.01*(B181^0.59)*Z$69)/(86.4*I$22)</f>
        <v>2.4742982595940295</v>
      </c>
      <c r="H181" s="42">
        <f t="shared" si="58"/>
        <v>207.54052603995316</v>
      </c>
      <c r="I181" s="42">
        <f t="shared" si="59"/>
        <v>4.201016949516668</v>
      </c>
      <c r="J181" s="32">
        <v>3.9</v>
      </c>
      <c r="K181" s="56"/>
      <c r="L181" s="56"/>
      <c r="M181" s="22">
        <f>(B181-(0.74*P$172))</f>
        <v>-41.044105632385282</v>
      </c>
      <c r="N181" s="10">
        <f t="shared" si="57"/>
        <v>-0.36646522886058286</v>
      </c>
      <c r="O181" s="62"/>
      <c r="P181" s="59"/>
      <c r="Q181" s="89">
        <v>112</v>
      </c>
      <c r="R181" s="89"/>
    </row>
    <row r="182" spans="1:18" x14ac:dyDescent="0.25">
      <c r="A182" s="8" t="s">
        <v>11</v>
      </c>
      <c r="B182" s="31">
        <v>21.6</v>
      </c>
      <c r="C182" s="10"/>
      <c r="D182" s="1">
        <v>3088</v>
      </c>
      <c r="E182" s="16"/>
      <c r="F182" s="16"/>
      <c r="G182" s="26">
        <f>(5.01*(B182^0.59)*Z$69)/(86.4*I$23)</f>
        <v>4.7769994372838447</v>
      </c>
      <c r="H182" s="42">
        <f t="shared" si="58"/>
        <v>193.80144132494686</v>
      </c>
      <c r="I182" s="42">
        <f t="shared" si="59"/>
        <v>3.9229116133690876</v>
      </c>
      <c r="J182" s="32">
        <v>3.9</v>
      </c>
      <c r="K182" s="56"/>
      <c r="L182" s="56"/>
      <c r="M182" s="22">
        <f t="shared" si="56"/>
        <v>-26.144105632385283</v>
      </c>
      <c r="N182" s="10">
        <f t="shared" si="57"/>
        <v>-0.21482420404589386</v>
      </c>
      <c r="O182" s="22"/>
      <c r="P182" s="22"/>
      <c r="Q182" s="89">
        <v>121.7</v>
      </c>
      <c r="R182" s="89"/>
    </row>
    <row r="183" spans="1:18" x14ac:dyDescent="0.25">
      <c r="A183" s="8" t="s">
        <v>12</v>
      </c>
      <c r="B183" s="11">
        <v>1992</v>
      </c>
      <c r="C183" s="11">
        <v>1992</v>
      </c>
      <c r="D183" s="32">
        <v>1992</v>
      </c>
      <c r="E183" s="32">
        <v>1992</v>
      </c>
      <c r="F183" s="32">
        <v>1992</v>
      </c>
      <c r="G183" s="32">
        <v>1992</v>
      </c>
      <c r="H183" s="32">
        <v>1992</v>
      </c>
      <c r="I183" s="32">
        <v>1992</v>
      </c>
      <c r="J183" s="47" t="s">
        <v>70</v>
      </c>
      <c r="K183" s="27"/>
      <c r="L183" s="27"/>
      <c r="M183" s="39" t="s">
        <v>60</v>
      </c>
      <c r="N183" s="39" t="s">
        <v>73</v>
      </c>
      <c r="O183" s="105" t="s">
        <v>57</v>
      </c>
      <c r="P183" s="105"/>
      <c r="Q183" s="10"/>
      <c r="R183" s="10"/>
    </row>
    <row r="184" spans="1:18" x14ac:dyDescent="0.25">
      <c r="A184" s="8" t="s">
        <v>0</v>
      </c>
      <c r="B184" s="31">
        <v>257.60000000000002</v>
      </c>
      <c r="C184" s="10"/>
      <c r="D184" s="1">
        <v>17298</v>
      </c>
      <c r="E184" s="16"/>
      <c r="F184" s="16"/>
      <c r="G184" s="26">
        <f>(5.01*(B184^0.59)*Z$69)/(86.4*I$12)</f>
        <v>20.619851514897533</v>
      </c>
      <c r="H184" s="42">
        <f>L$30^(J184-(0.6458446*LN(P$34))-(9.53942*N184*(P$34/P$33))+(4.8904*N184))</f>
        <v>230.73057912358453</v>
      </c>
      <c r="I184" s="42">
        <f>L$30^(K$28-(0.6458446*LN(P$34))-(9.53942*N184*(P$34/P$33))+(4.8904*N184))</f>
        <v>2.0985585529638873</v>
      </c>
      <c r="J184" s="32">
        <v>4.7</v>
      </c>
      <c r="K184" s="56"/>
      <c r="L184" s="56"/>
      <c r="M184" s="22">
        <f>(B184-(0.74*P$185))</f>
        <v>148.03095719275007</v>
      </c>
      <c r="N184" s="10">
        <f>M184/Q184</f>
        <v>1.1702051951996053</v>
      </c>
      <c r="O184" s="50" t="s">
        <v>58</v>
      </c>
      <c r="P184" s="22">
        <f>(B184+B185+B186+B187+B188+B189+B190+B191+B192+B193+B194+B195)/12</f>
        <v>126.81666666666668</v>
      </c>
      <c r="Q184" s="89">
        <v>126.5</v>
      </c>
      <c r="R184" s="89"/>
    </row>
    <row r="185" spans="1:18" x14ac:dyDescent="0.25">
      <c r="A185" s="8" t="s">
        <v>1</v>
      </c>
      <c r="B185" s="31">
        <v>273.10000000000002</v>
      </c>
      <c r="C185" s="10"/>
      <c r="D185" s="1">
        <v>21786</v>
      </c>
      <c r="E185" s="16"/>
      <c r="F185" s="16"/>
      <c r="G185" s="26">
        <f>(5.01*(B185^0.59)*Z$69)/(86.4*J$13)</f>
        <v>22.815026416727545</v>
      </c>
      <c r="H185" s="42">
        <f>L$30^(J185-(0.6458446*LN(P$34))-(9.53942*N185*(P$34/P$33))+(4.8904*N185))</f>
        <v>205.46498740271196</v>
      </c>
      <c r="I185" s="42">
        <f>L$30^(K$28-(0.6458446*LN(P$34))-(9.53942*N185*(P$34/P$33))+(4.8904*N185))</f>
        <v>1.8687609951242248</v>
      </c>
      <c r="J185" s="32">
        <v>4.7</v>
      </c>
      <c r="K185" s="56"/>
      <c r="L185" s="56"/>
      <c r="M185" s="22">
        <f t="shared" ref="M185:M195" si="60">(B185-(0.74*P$185))</f>
        <v>163.53095719275007</v>
      </c>
      <c r="N185" s="10">
        <f t="shared" ref="N185:N195" si="61">M185/Q185</f>
        <v>1.4269717032526184</v>
      </c>
      <c r="O185" s="50" t="s">
        <v>66</v>
      </c>
      <c r="P185" s="22">
        <f>((((B184-P184)^2+(B185-P184)^2+(B186-P184)^2+(B187-P184)^2+(B188-P184)^2+(B189-P184)^2+(B190-P184)^2+(B191-P184)^2+(B192-P184)^2+(B193-P184)^2+(B194-P184)^2+(B195-P184)^2))/(12-1))^0.5</f>
        <v>148.0662740638513</v>
      </c>
      <c r="Q185" s="89">
        <v>114.6</v>
      </c>
      <c r="R185" s="89"/>
    </row>
    <row r="186" spans="1:18" x14ac:dyDescent="0.25">
      <c r="A186" s="8" t="s">
        <v>2</v>
      </c>
      <c r="B186" s="31">
        <v>367.1</v>
      </c>
      <c r="C186" s="10"/>
      <c r="D186" s="1">
        <v>25354</v>
      </c>
      <c r="E186" s="16"/>
      <c r="F186" s="16"/>
      <c r="G186" s="26">
        <f>(5.01*(B186^0.59)*Z$69)/(86.4*I$14)</f>
        <v>25.412668063223688</v>
      </c>
      <c r="H186" s="42">
        <f>L$30^(J186-(0.6458446*LN(P$34))-(9.53942*N186*(P$34/P$33))+(4.8904*N186))</f>
        <v>160.41691956715124</v>
      </c>
      <c r="I186" s="42">
        <f>L$30^(K$28-(0.6458446*LN(P$34))-(9.53942*N186*(P$34/P$33))+(4.8904*N186))</f>
        <v>1.4590363352637834</v>
      </c>
      <c r="J186" s="32">
        <v>4.7</v>
      </c>
      <c r="K186" s="56"/>
      <c r="L186" s="58"/>
      <c r="M186" s="22">
        <f t="shared" si="60"/>
        <v>257.53095719275007</v>
      </c>
      <c r="N186" s="10">
        <f t="shared" si="61"/>
        <v>1.9749306533186355</v>
      </c>
      <c r="O186" s="22"/>
      <c r="P186" s="22"/>
      <c r="Q186" s="89">
        <v>130.4</v>
      </c>
      <c r="R186" s="89"/>
    </row>
    <row r="187" spans="1:18" x14ac:dyDescent="0.25">
      <c r="A187" s="8" t="s">
        <v>3</v>
      </c>
      <c r="B187" s="31">
        <v>310.3</v>
      </c>
      <c r="C187" s="10"/>
      <c r="D187" s="1">
        <v>24482</v>
      </c>
      <c r="E187" s="16"/>
      <c r="F187" s="16"/>
      <c r="G187" s="26">
        <f>(5.01*(B187^0.59)*Z$69)/(86.4*I$15)</f>
        <v>23.78040045053606</v>
      </c>
      <c r="H187" s="42">
        <f>L$30^(J187-(0.6458446*LN(P$34))-(9.53942*N187*(P$34/P$33))+(4.8904*N187))</f>
        <v>192.76687042111865</v>
      </c>
      <c r="I187" s="42">
        <f>L$30^(K$28-(0.6458446*LN(P$34))-(9.53942*N187*(P$34/P$33))+(4.8904*N187))</f>
        <v>1.753268102506877</v>
      </c>
      <c r="J187" s="32">
        <v>4.7</v>
      </c>
      <c r="K187" s="56"/>
      <c r="L187" s="56"/>
      <c r="M187" s="22">
        <f t="shared" si="60"/>
        <v>200.73095719275005</v>
      </c>
      <c r="N187" s="10">
        <f t="shared" si="61"/>
        <v>1.5682106030683598</v>
      </c>
      <c r="O187" s="22"/>
      <c r="P187" s="22"/>
      <c r="Q187" s="89">
        <v>128</v>
      </c>
      <c r="R187" s="89"/>
    </row>
    <row r="188" spans="1:18" x14ac:dyDescent="0.25">
      <c r="A188" s="8" t="s">
        <v>4</v>
      </c>
      <c r="B188" s="31">
        <v>244.7</v>
      </c>
      <c r="C188" s="10"/>
      <c r="D188" s="1">
        <v>21129</v>
      </c>
      <c r="E188" s="16"/>
      <c r="F188" s="16"/>
      <c r="G188" s="26">
        <f>(5.01*(B188^0.59)*Z$69)/(86.4*I$16)</f>
        <v>20.004215243231869</v>
      </c>
      <c r="H188" s="42">
        <f t="shared" ref="H188:H195" si="62">L$30^(J188-(0.6458446*LN(P$34))-(9.53942*N188*(P$34/P$33))+(4.8904*N188))</f>
        <v>238.88690697354824</v>
      </c>
      <c r="I188" s="42">
        <f t="shared" ref="I188:I195" si="63">L$30^(K$28-(0.6458446*LN(P$34))-(9.53942*N188*(P$34/P$33))+(4.8904*N188))</f>
        <v>2.1727426148915909</v>
      </c>
      <c r="J188" s="32">
        <v>4.7</v>
      </c>
      <c r="K188" s="56"/>
      <c r="L188" s="56"/>
      <c r="M188" s="22">
        <f t="shared" si="60"/>
        <v>135.13095719275003</v>
      </c>
      <c r="N188" s="10">
        <f t="shared" si="61"/>
        <v>1.0932925339219259</v>
      </c>
      <c r="O188" s="59"/>
      <c r="P188" s="59"/>
      <c r="Q188" s="89">
        <v>123.6</v>
      </c>
      <c r="R188" s="89"/>
    </row>
    <row r="189" spans="1:18" x14ac:dyDescent="0.25">
      <c r="A189" s="8" t="s">
        <v>5</v>
      </c>
      <c r="B189" s="31">
        <v>27.4</v>
      </c>
      <c r="C189" s="10"/>
      <c r="D189" s="1">
        <v>8645</v>
      </c>
      <c r="E189" s="16"/>
      <c r="F189" s="16"/>
      <c r="G189" s="26">
        <f>(5.01*(B189^0.59)*Z$69)/(86.4*I$17)</f>
        <v>5.6799007652237865</v>
      </c>
      <c r="H189" s="42">
        <f t="shared" si="62"/>
        <v>246.84026892214067</v>
      </c>
      <c r="I189" s="42">
        <f t="shared" si="63"/>
        <v>4.996518864780839</v>
      </c>
      <c r="J189" s="32">
        <v>3.9</v>
      </c>
      <c r="K189" s="56"/>
      <c r="L189" s="56"/>
      <c r="M189" s="22">
        <f>(B189-(0.74*P$185))</f>
        <v>-82.169042807249951</v>
      </c>
      <c r="N189" s="10">
        <f t="shared" si="61"/>
        <v>-0.75040221741780777</v>
      </c>
      <c r="O189" s="59"/>
      <c r="P189" s="59"/>
      <c r="Q189" s="89">
        <v>109.5</v>
      </c>
      <c r="R189" s="89"/>
    </row>
    <row r="190" spans="1:18" x14ac:dyDescent="0.25">
      <c r="A190" s="8" t="s">
        <v>6</v>
      </c>
      <c r="B190" s="31">
        <v>1.1000000000000001</v>
      </c>
      <c r="C190" s="10"/>
      <c r="D190" s="1">
        <v>1979</v>
      </c>
      <c r="E190" s="16"/>
      <c r="F190" s="16"/>
      <c r="G190" s="26">
        <f>(5.01*(B190^0.59)*Z$69)/(86.4*I$18)</f>
        <v>0.82461107093750996</v>
      </c>
      <c r="H190" s="42">
        <f t="shared" si="62"/>
        <v>62.438987463959862</v>
      </c>
      <c r="I190" s="42">
        <f t="shared" si="63"/>
        <v>5.6643371481940834</v>
      </c>
      <c r="J190" s="32">
        <v>2.4</v>
      </c>
      <c r="K190" s="56"/>
      <c r="L190" s="56"/>
      <c r="M190" s="22">
        <f t="shared" si="60"/>
        <v>-108.46904280724996</v>
      </c>
      <c r="N190" s="10">
        <f t="shared" si="61"/>
        <v>-1.0281425858507105</v>
      </c>
      <c r="O190" s="59"/>
      <c r="P190" s="59"/>
      <c r="Q190" s="89">
        <v>105.5</v>
      </c>
      <c r="R190" s="89"/>
    </row>
    <row r="191" spans="1:18" x14ac:dyDescent="0.25">
      <c r="A191" s="8" t="s">
        <v>7</v>
      </c>
      <c r="B191" s="31">
        <v>0.7</v>
      </c>
      <c r="C191" s="10"/>
      <c r="D191" s="10">
        <v>0.52200000000000002</v>
      </c>
      <c r="E191" s="16"/>
      <c r="F191" s="16"/>
      <c r="G191" s="26">
        <f>(5.01*(B191^0.59)*Z$69)/(86.4*I$19)</f>
        <v>0.63159010961332729</v>
      </c>
      <c r="H191" s="42">
        <f t="shared" si="62"/>
        <v>17.137430485036219</v>
      </c>
      <c r="I191" s="42">
        <f t="shared" si="63"/>
        <v>5.7045550573548836</v>
      </c>
      <c r="J191" s="32">
        <v>1.1000000000000001</v>
      </c>
      <c r="K191" s="56"/>
      <c r="L191" s="56"/>
      <c r="M191" s="22">
        <f t="shared" si="60"/>
        <v>-108.86904280724995</v>
      </c>
      <c r="N191" s="10">
        <f t="shared" si="61"/>
        <v>-1.0438067383245442</v>
      </c>
      <c r="O191" s="60"/>
      <c r="P191" s="59"/>
      <c r="Q191" s="89">
        <v>104.3</v>
      </c>
      <c r="R191" s="89"/>
    </row>
    <row r="192" spans="1:18" x14ac:dyDescent="0.25">
      <c r="A192" s="8" t="s">
        <v>8</v>
      </c>
      <c r="B192" s="31">
        <v>0.2</v>
      </c>
      <c r="C192" s="10"/>
      <c r="D192" s="10">
        <v>0.27600000000000002</v>
      </c>
      <c r="E192" s="16"/>
      <c r="F192" s="16"/>
      <c r="G192" s="26">
        <f>(5.01*(B192^0.59)*Z$69)/(86.4*I$20)</f>
        <v>0.31165608694477714</v>
      </c>
      <c r="H192" s="42">
        <f t="shared" si="62"/>
        <v>17.400445812089842</v>
      </c>
      <c r="I192" s="42">
        <f t="shared" si="63"/>
        <v>5.7921052543004281</v>
      </c>
      <c r="J192" s="32">
        <v>1.1000000000000001</v>
      </c>
      <c r="K192" s="56"/>
      <c r="L192" s="56"/>
      <c r="M192" s="22">
        <f>(B192-(0.74*P$185))</f>
        <v>-109.36904280724995</v>
      </c>
      <c r="N192" s="10">
        <f t="shared" si="61"/>
        <v>-1.077527515342364</v>
      </c>
      <c r="O192" s="59"/>
      <c r="P192" s="59"/>
      <c r="Q192" s="89">
        <v>101.5</v>
      </c>
      <c r="R192" s="89"/>
    </row>
    <row r="193" spans="1:22" ht="18.75" x14ac:dyDescent="0.3">
      <c r="A193" s="8" t="s">
        <v>9</v>
      </c>
      <c r="B193" s="31">
        <v>0.4</v>
      </c>
      <c r="C193" s="10"/>
      <c r="D193" s="10">
        <v>0.27200000000000002</v>
      </c>
      <c r="E193" s="16"/>
      <c r="F193" s="16"/>
      <c r="G193" s="26">
        <f>(5.01*(B193^0.59)*Z$69)/(86.4*I$21)</f>
        <v>0.45398643017853541</v>
      </c>
      <c r="H193" s="42">
        <f t="shared" si="62"/>
        <v>61.822274787186508</v>
      </c>
      <c r="I193" s="42">
        <f t="shared" si="63"/>
        <v>5.6083902363895666</v>
      </c>
      <c r="J193" s="32">
        <v>2.4</v>
      </c>
      <c r="K193" s="56"/>
      <c r="L193" s="56"/>
      <c r="M193" s="22">
        <f t="shared" si="60"/>
        <v>-109.16904280724995</v>
      </c>
      <c r="N193" s="10">
        <f t="shared" si="61"/>
        <v>-1.0061662931543773</v>
      </c>
      <c r="O193" s="61"/>
      <c r="P193" s="62"/>
      <c r="Q193" s="89">
        <v>108.5</v>
      </c>
      <c r="R193" s="89"/>
    </row>
    <row r="194" spans="1:22" x14ac:dyDescent="0.25">
      <c r="A194" s="8" t="s">
        <v>10</v>
      </c>
      <c r="B194" s="31">
        <v>0.1</v>
      </c>
      <c r="C194" s="10"/>
      <c r="D194" s="10">
        <v>0.192</v>
      </c>
      <c r="E194" s="16"/>
      <c r="F194" s="16"/>
      <c r="G194" s="26">
        <f>(5.01*(B194^0.59)*Z$69)/(86.4*I$22)</f>
        <v>0.20704651080017727</v>
      </c>
      <c r="H194" s="42">
        <f t="shared" si="62"/>
        <v>273.49181401957441</v>
      </c>
      <c r="I194" s="42">
        <f t="shared" si="63"/>
        <v>5.5359970805369896</v>
      </c>
      <c r="J194" s="32">
        <v>3.9</v>
      </c>
      <c r="K194" s="56"/>
      <c r="L194" s="56"/>
      <c r="M194" s="22">
        <f t="shared" si="60"/>
        <v>-109.46904280724996</v>
      </c>
      <c r="N194" s="10">
        <f t="shared" si="61"/>
        <v>-0.97740216792187462</v>
      </c>
      <c r="O194" s="62"/>
      <c r="P194" s="59"/>
      <c r="Q194" s="89">
        <v>112</v>
      </c>
      <c r="R194" s="89"/>
      <c r="S194" s="5"/>
      <c r="T194" s="5"/>
      <c r="U194" s="5"/>
      <c r="V194" s="5"/>
    </row>
    <row r="195" spans="1:22" x14ac:dyDescent="0.25">
      <c r="A195" s="8" t="s">
        <v>11</v>
      </c>
      <c r="B195" s="31">
        <v>39.1</v>
      </c>
      <c r="C195" s="10"/>
      <c r="D195" s="1">
        <v>4461</v>
      </c>
      <c r="E195" s="16"/>
      <c r="F195" s="16"/>
      <c r="G195" s="26">
        <f>(5.01*(B195^0.59)*Z$69)/(86.4*I$23)</f>
        <v>6.7797200901982926</v>
      </c>
      <c r="H195" s="42">
        <f t="shared" si="62"/>
        <v>228.45537924744835</v>
      </c>
      <c r="I195" s="42">
        <f t="shared" si="63"/>
        <v>4.6243735560448034</v>
      </c>
      <c r="J195" s="32">
        <v>3.9</v>
      </c>
      <c r="K195" s="56"/>
      <c r="L195" s="56"/>
      <c r="M195" s="22">
        <f t="shared" si="60"/>
        <v>-70.469042807249963</v>
      </c>
      <c r="N195" s="10">
        <f t="shared" si="61"/>
        <v>-0.57903897130032833</v>
      </c>
      <c r="O195" s="22"/>
      <c r="P195" s="22"/>
      <c r="Q195" s="89">
        <v>121.7</v>
      </c>
      <c r="R195" s="89"/>
      <c r="S195" s="5"/>
      <c r="T195" s="5"/>
      <c r="U195" s="5"/>
      <c r="V195" s="5"/>
    </row>
    <row r="196" spans="1:22" x14ac:dyDescent="0.25">
      <c r="A196" s="8" t="s">
        <v>12</v>
      </c>
      <c r="B196" s="11">
        <v>1993</v>
      </c>
      <c r="C196" s="11">
        <v>1993</v>
      </c>
      <c r="D196" s="32">
        <v>1993</v>
      </c>
      <c r="E196" s="32">
        <v>1993</v>
      </c>
      <c r="F196" s="32">
        <v>1993</v>
      </c>
      <c r="G196" s="32">
        <v>1993</v>
      </c>
      <c r="H196" s="32">
        <v>1993</v>
      </c>
      <c r="I196" s="32">
        <v>1993</v>
      </c>
      <c r="J196" s="47" t="s">
        <v>70</v>
      </c>
      <c r="K196" s="27"/>
      <c r="L196" s="27"/>
      <c r="M196" s="39" t="s">
        <v>60</v>
      </c>
      <c r="N196" s="39" t="s">
        <v>73</v>
      </c>
      <c r="O196" s="105" t="s">
        <v>57</v>
      </c>
      <c r="P196" s="105"/>
      <c r="Q196" s="10"/>
      <c r="R196" s="10"/>
      <c r="S196" s="5"/>
      <c r="T196" s="5"/>
      <c r="U196" s="5"/>
      <c r="V196" s="5"/>
    </row>
    <row r="197" spans="1:22" x14ac:dyDescent="0.25">
      <c r="A197" s="8" t="s">
        <v>0</v>
      </c>
      <c r="B197" s="31">
        <v>97.8</v>
      </c>
      <c r="C197" s="10"/>
      <c r="D197" s="10">
        <v>9.43</v>
      </c>
      <c r="E197" s="16"/>
      <c r="F197" s="16"/>
      <c r="G197" s="26">
        <f>(5.01*(B197^0.59)*Z$69)/(86.4*I$12)</f>
        <v>11.64467578513867</v>
      </c>
      <c r="H197" s="42">
        <f>L$30^(J197-(0.6458446*LN(P$34))-(9.53942*N197*(P$34/P$33))+(4.8904*N197))</f>
        <v>361.83658560092169</v>
      </c>
      <c r="I197" s="42">
        <f>L$30^(K$28-(0.6458446*LN(P$34))-(9.53942*N197*(P$34/P$33))+(4.8904*N197))</f>
        <v>3.2910040115720696</v>
      </c>
      <c r="J197" s="32">
        <v>4.7</v>
      </c>
      <c r="K197" s="56"/>
      <c r="L197" s="56"/>
      <c r="M197" s="22">
        <f>(B197-(0.74*P$198))</f>
        <v>22.016376633766356</v>
      </c>
      <c r="N197" s="10">
        <f>M197/Q197</f>
        <v>0.17404250303372615</v>
      </c>
      <c r="O197" s="50" t="s">
        <v>58</v>
      </c>
      <c r="P197" s="22">
        <f>(B197+B198+B199+B200+B201+B202+B203+B204+B205+B206+B207+B208)/12</f>
        <v>71.841666666666669</v>
      </c>
      <c r="Q197" s="89">
        <v>126.5</v>
      </c>
      <c r="R197" s="89"/>
      <c r="S197" s="5"/>
      <c r="T197" s="5"/>
      <c r="U197" s="5"/>
      <c r="V197" s="5"/>
    </row>
    <row r="198" spans="1:22" x14ac:dyDescent="0.25">
      <c r="A198" s="8" t="s">
        <v>1</v>
      </c>
      <c r="B198" s="31">
        <v>291.8</v>
      </c>
      <c r="C198" s="10"/>
      <c r="D198" s="1">
        <v>20195</v>
      </c>
      <c r="E198" s="16"/>
      <c r="F198" s="16"/>
      <c r="G198" s="26">
        <f>(5.01*(B198^0.59)*Z$69)/(86.4*J$13)</f>
        <v>23.724195409656012</v>
      </c>
      <c r="H198" s="42">
        <f>L$30^(J198-(0.6458446*LN(P$34))-(9.53942*N198*(P$34/P$33))+(4.8904*N198))</f>
        <v>167.0701595806926</v>
      </c>
      <c r="I198" s="42">
        <f>L$30^(K$28-(0.6458446*LN(P$34))-(9.53942*N198*(P$34/P$33))+(4.8904*N198))</f>
        <v>1.5195493968110363</v>
      </c>
      <c r="J198" s="32">
        <v>4.7</v>
      </c>
      <c r="K198" s="56"/>
      <c r="L198" s="56"/>
      <c r="M198" s="22">
        <f t="shared" ref="M198:M208" si="64">(B198-(0.74*P$198))</f>
        <v>216.01637663376636</v>
      </c>
      <c r="N198" s="10">
        <f t="shared" ref="N198:N208" si="65">M198/Q198</f>
        <v>1.8849596564901079</v>
      </c>
      <c r="O198" s="50" t="s">
        <v>66</v>
      </c>
      <c r="P198" s="22">
        <f>((((B197-P197)^2+(B198-P197)^2+(B199-P197)^2+(B200-P197)^2+(B201-P197)^2+(B202-P197)^2+(B203-P197)^2+(B204-P197)^2+(B205-P197)^2+(B206-P197)^2+(B207-P197)^2+(B208-P197)^2))/(12-1))^0.5</f>
        <v>102.41030184626167</v>
      </c>
      <c r="Q198" s="89">
        <v>114.6</v>
      </c>
      <c r="R198" s="89"/>
      <c r="S198" s="5"/>
      <c r="T198" s="5"/>
      <c r="U198" s="5"/>
      <c r="V198" s="5"/>
    </row>
    <row r="199" spans="1:22" x14ac:dyDescent="0.25">
      <c r="A199" s="8" t="s">
        <v>2</v>
      </c>
      <c r="B199" s="31">
        <v>240.4</v>
      </c>
      <c r="C199" s="10"/>
      <c r="D199" s="1">
        <v>20325</v>
      </c>
      <c r="E199" s="16"/>
      <c r="F199" s="5"/>
      <c r="G199" s="26">
        <f>(5.01*(B199^0.59)*Z$69)/(86.4*I$14)</f>
        <v>19.796062227320348</v>
      </c>
      <c r="H199" s="42">
        <f>L$30^(J199-(0.6458446*LN(P$34))-(9.53942*N199*(P$34/P$33))+(4.8904*N199))</f>
        <v>221.32022163298976</v>
      </c>
      <c r="I199" s="42">
        <f>L$30^(K$28-(0.6458446*LN(P$34))-(9.53942*N199*(P$34/P$33))+(4.8904*N199))</f>
        <v>2.0129687439609034</v>
      </c>
      <c r="J199" s="32">
        <v>4.7</v>
      </c>
      <c r="K199" s="56"/>
      <c r="L199" s="58"/>
      <c r="M199" s="22">
        <f t="shared" si="64"/>
        <v>164.61637663376638</v>
      </c>
      <c r="N199" s="10">
        <f t="shared" si="65"/>
        <v>1.2623955263325641</v>
      </c>
      <c r="O199" s="22"/>
      <c r="P199" s="22"/>
      <c r="Q199" s="89">
        <v>130.4</v>
      </c>
      <c r="R199" s="89"/>
      <c r="S199" s="5"/>
      <c r="T199" s="5"/>
      <c r="U199" s="5"/>
    </row>
    <row r="200" spans="1:22" x14ac:dyDescent="0.25">
      <c r="A200" s="8" t="s">
        <v>3</v>
      </c>
      <c r="B200" s="31">
        <v>148.6</v>
      </c>
      <c r="C200" s="10"/>
      <c r="D200" s="1">
        <v>15565</v>
      </c>
      <c r="E200" s="16"/>
      <c r="F200" s="5"/>
      <c r="G200" s="26">
        <f>(5.01*(B200^0.59)*Z$69)/(86.4*I$15)</f>
        <v>15.401357914738748</v>
      </c>
      <c r="H200" s="42">
        <f>L$30^(J200-(0.6458446*LN(P$34))-(9.53942*N200*(P$34/P$33))+(4.8904*N200))</f>
        <v>302.73423634309074</v>
      </c>
      <c r="I200" s="42">
        <f>L$30^(K$28-(0.6458446*LN(P$34))-(9.53942*N200*(P$34/P$33))+(4.8904*N200))</f>
        <v>2.7534517677108612</v>
      </c>
      <c r="J200" s="32">
        <v>4.7</v>
      </c>
      <c r="K200" s="56"/>
      <c r="L200" s="56"/>
      <c r="M200" s="22">
        <f t="shared" si="64"/>
        <v>72.816376633766353</v>
      </c>
      <c r="N200" s="10">
        <f t="shared" si="65"/>
        <v>0.56887794245129963</v>
      </c>
      <c r="O200" s="22"/>
      <c r="P200" s="22"/>
      <c r="Q200" s="89">
        <v>128</v>
      </c>
      <c r="R200" s="89"/>
      <c r="S200" s="5"/>
      <c r="T200" s="5"/>
      <c r="U200" s="5"/>
    </row>
    <row r="201" spans="1:22" x14ac:dyDescent="0.25">
      <c r="A201" s="8" t="s">
        <v>4</v>
      </c>
      <c r="B201" s="31">
        <v>44.3</v>
      </c>
      <c r="C201" s="10"/>
      <c r="D201" s="1">
        <v>8167</v>
      </c>
      <c r="E201" s="16"/>
      <c r="F201" s="5"/>
      <c r="G201" s="26">
        <f>(5.01*(B201^0.59)*Z$69)/(86.4*I$16)</f>
        <v>7.298030523142824</v>
      </c>
      <c r="H201" s="42">
        <f t="shared" ref="H201:H208" si="66">L$30^(J201-(0.6458446*LN(P$34))-(9.53942*N201*(P$34/P$33))+(4.8904*N201))</f>
        <v>439.15609691478835</v>
      </c>
      <c r="I201" s="42">
        <f t="shared" ref="I201:I208" si="67">L$30^(K$28-(0.6458446*LN(P$34))-(9.53942*N201*(P$34/P$33))+(4.8904*N201))</f>
        <v>3.9942463923394365</v>
      </c>
      <c r="J201" s="32">
        <v>4.7</v>
      </c>
      <c r="K201" s="56"/>
      <c r="L201" s="56"/>
      <c r="M201" s="22">
        <f t="shared" si="64"/>
        <v>-31.483623366233644</v>
      </c>
      <c r="N201" s="10">
        <f t="shared" si="65"/>
        <v>-0.25472187189509421</v>
      </c>
      <c r="O201" s="59"/>
      <c r="P201" s="59"/>
      <c r="Q201" s="89">
        <v>123.6</v>
      </c>
      <c r="R201" s="89"/>
      <c r="S201" s="5"/>
      <c r="T201" s="5"/>
      <c r="U201" s="5"/>
    </row>
    <row r="202" spans="1:22" x14ac:dyDescent="0.25">
      <c r="A202" s="8" t="s">
        <v>5</v>
      </c>
      <c r="B202" s="31">
        <v>26.4</v>
      </c>
      <c r="C202" s="10"/>
      <c r="D202" s="10">
        <v>4.67</v>
      </c>
      <c r="E202" s="16"/>
      <c r="F202" s="5"/>
      <c r="G202" s="26">
        <f>(5.01*(B202^0.59)*Z$69)/(86.4*I$17)</f>
        <v>5.5566652311681928</v>
      </c>
      <c r="H202" s="42">
        <f t="shared" si="66"/>
        <v>215.61734171334425</v>
      </c>
      <c r="I202" s="42">
        <f t="shared" si="67"/>
        <v>4.3645071371415423</v>
      </c>
      <c r="J202" s="32">
        <v>3.9</v>
      </c>
      <c r="K202" s="56"/>
      <c r="L202" s="56"/>
      <c r="M202" s="22">
        <f t="shared" si="64"/>
        <v>-49.383623366233643</v>
      </c>
      <c r="N202" s="10">
        <f t="shared" si="65"/>
        <v>-0.45099199421217939</v>
      </c>
      <c r="O202" s="59"/>
      <c r="P202" s="59"/>
      <c r="Q202" s="89">
        <v>109.5</v>
      </c>
      <c r="R202" s="89"/>
      <c r="S202" s="5"/>
      <c r="T202" s="5"/>
      <c r="U202" s="5"/>
    </row>
    <row r="203" spans="1:22" x14ac:dyDescent="0.25">
      <c r="A203" s="8" t="s">
        <v>6</v>
      </c>
      <c r="B203" s="31">
        <v>0</v>
      </c>
      <c r="C203" s="10"/>
      <c r="D203" s="1">
        <v>1647</v>
      </c>
      <c r="E203" s="16"/>
      <c r="F203" s="5"/>
      <c r="G203" s="26">
        <f>(5.01*(B203^0.59)*Z$69)/(86.4*I$18)</f>
        <v>0</v>
      </c>
      <c r="H203" s="42">
        <f t="shared" si="66"/>
        <v>54.285350224772884</v>
      </c>
      <c r="I203" s="42">
        <f t="shared" si="67"/>
        <v>4.9246558659906672</v>
      </c>
      <c r="J203" s="32">
        <v>2.4</v>
      </c>
      <c r="K203" s="56"/>
      <c r="L203" s="56"/>
      <c r="M203" s="22">
        <f t="shared" si="64"/>
        <v>-75.783623366233641</v>
      </c>
      <c r="N203" s="10">
        <f t="shared" si="65"/>
        <v>-0.71832818356619565</v>
      </c>
      <c r="O203" s="59"/>
      <c r="P203" s="59"/>
      <c r="Q203" s="89">
        <v>105.5</v>
      </c>
      <c r="R203" s="89"/>
      <c r="S203" s="5"/>
      <c r="T203" s="5"/>
      <c r="U203" s="5"/>
    </row>
    <row r="204" spans="1:22" x14ac:dyDescent="0.25">
      <c r="A204" s="8" t="s">
        <v>7</v>
      </c>
      <c r="B204" s="31">
        <v>4.4000000000000004</v>
      </c>
      <c r="C204" s="10"/>
      <c r="D204" s="10">
        <v>0.99399999999999999</v>
      </c>
      <c r="E204" s="16"/>
      <c r="F204" s="5"/>
      <c r="G204" s="26">
        <f>(5.01*(B204^0.59)*Z$69)/(86.4*I$19)</f>
        <v>1.8683771878032311</v>
      </c>
      <c r="H204" s="42">
        <f t="shared" si="66"/>
        <v>14.569538195238541</v>
      </c>
      <c r="I204" s="42">
        <f t="shared" si="67"/>
        <v>4.8497779680299269</v>
      </c>
      <c r="J204" s="32">
        <v>1.1000000000000001</v>
      </c>
      <c r="K204" s="56"/>
      <c r="L204" s="56"/>
      <c r="M204" s="22">
        <f t="shared" si="64"/>
        <v>-71.383623366233635</v>
      </c>
      <c r="N204" s="10">
        <f t="shared" si="65"/>
        <v>-0.68440674368392751</v>
      </c>
      <c r="O204" s="60"/>
      <c r="P204" s="59"/>
      <c r="Q204" s="89">
        <v>104.3</v>
      </c>
      <c r="R204" s="89"/>
      <c r="S204" s="5"/>
      <c r="T204" s="5"/>
      <c r="U204" s="5"/>
    </row>
    <row r="205" spans="1:22" x14ac:dyDescent="0.25">
      <c r="A205" s="8" t="s">
        <v>8</v>
      </c>
      <c r="B205" s="31">
        <v>0</v>
      </c>
      <c r="C205" s="10"/>
      <c r="D205" s="10">
        <v>0.57299999999999995</v>
      </c>
      <c r="E205" s="16"/>
      <c r="F205" s="5"/>
      <c r="G205" s="26">
        <f>(5.01*(B205^0.59)*Z$69)/(86.4*I$20)</f>
        <v>0</v>
      </c>
      <c r="H205" s="42">
        <f t="shared" si="66"/>
        <v>14.984864293718529</v>
      </c>
      <c r="I205" s="42">
        <f t="shared" si="67"/>
        <v>4.9880280165190651</v>
      </c>
      <c r="J205" s="32">
        <v>1.1000000000000001</v>
      </c>
      <c r="K205" s="56"/>
      <c r="L205" s="56"/>
      <c r="M205" s="22">
        <f t="shared" si="64"/>
        <v>-75.783623366233641</v>
      </c>
      <c r="N205" s="10">
        <f t="shared" si="65"/>
        <v>-0.74663668341116884</v>
      </c>
      <c r="O205" s="59"/>
      <c r="P205" s="59"/>
      <c r="Q205" s="89">
        <v>101.5</v>
      </c>
      <c r="R205" s="89"/>
      <c r="S205" s="5"/>
      <c r="T205" s="5"/>
      <c r="U205" s="5"/>
    </row>
    <row r="206" spans="1:22" ht="18.75" x14ac:dyDescent="0.3">
      <c r="A206" s="8" t="s">
        <v>9</v>
      </c>
      <c r="B206" s="31">
        <v>1.6</v>
      </c>
      <c r="C206" s="10"/>
      <c r="D206" s="10">
        <v>0.54400000000000004</v>
      </c>
      <c r="E206" s="16"/>
      <c r="F206" s="5"/>
      <c r="G206" s="26">
        <f>(5.01*(B206^0.59)*Z$69)/(86.4*I$21)</f>
        <v>1.0286278217844578</v>
      </c>
      <c r="H206" s="42">
        <f t="shared" si="66"/>
        <v>53.443378787102397</v>
      </c>
      <c r="I206" s="42">
        <f t="shared" si="67"/>
        <v>4.8482739404370516</v>
      </c>
      <c r="J206" s="32">
        <v>2.4</v>
      </c>
      <c r="K206" s="56"/>
      <c r="L206" s="56"/>
      <c r="M206" s="22">
        <f t="shared" si="64"/>
        <v>-74.183623366233647</v>
      </c>
      <c r="N206" s="10">
        <f t="shared" si="65"/>
        <v>-0.68372003102519485</v>
      </c>
      <c r="O206" s="61"/>
      <c r="P206" s="62"/>
      <c r="Q206" s="89">
        <v>108.5</v>
      </c>
      <c r="R206" s="89"/>
      <c r="S206" s="5"/>
      <c r="T206" s="5"/>
      <c r="U206" s="5"/>
    </row>
    <row r="207" spans="1:22" x14ac:dyDescent="0.25">
      <c r="A207" s="8" t="s">
        <v>10</v>
      </c>
      <c r="B207" s="31">
        <v>1.1000000000000001</v>
      </c>
      <c r="C207" s="10"/>
      <c r="D207" s="10">
        <v>0.56200000000000006</v>
      </c>
      <c r="E207" s="16"/>
      <c r="F207" s="5"/>
      <c r="G207" s="26">
        <f>(5.01*(B207^0.59)*Z$69)/(86.4*I$22)</f>
        <v>0.85209810663542696</v>
      </c>
      <c r="H207" s="42">
        <f t="shared" si="66"/>
        <v>237.69505116914877</v>
      </c>
      <c r="I207" s="42">
        <f t="shared" si="67"/>
        <v>4.8114021768721651</v>
      </c>
      <c r="J207" s="32">
        <v>3.9</v>
      </c>
      <c r="K207" s="56"/>
      <c r="L207" s="56"/>
      <c r="M207" s="22">
        <f t="shared" si="64"/>
        <v>-74.683623366233647</v>
      </c>
      <c r="N207" s="10">
        <f t="shared" si="65"/>
        <v>-0.66681806576994329</v>
      </c>
      <c r="O207" s="62"/>
      <c r="P207" s="59"/>
      <c r="Q207" s="89">
        <v>112</v>
      </c>
      <c r="R207" s="89"/>
      <c r="S207" s="5"/>
      <c r="T207" s="5"/>
      <c r="U207" s="5"/>
    </row>
    <row r="208" spans="1:22" x14ac:dyDescent="0.25">
      <c r="A208" s="8" t="s">
        <v>11</v>
      </c>
      <c r="B208" s="31">
        <v>5.7</v>
      </c>
      <c r="C208" s="10"/>
      <c r="D208" s="1">
        <v>1151</v>
      </c>
      <c r="E208" s="16"/>
      <c r="F208" s="5"/>
      <c r="G208" s="26">
        <f>(5.01*(B208^0.59)*Z$69)/(86.4*I$23)</f>
        <v>2.1766752633836708</v>
      </c>
      <c r="H208" s="42">
        <f t="shared" si="66"/>
        <v>228.12882142292966</v>
      </c>
      <c r="I208" s="42">
        <f t="shared" si="67"/>
        <v>4.6177634014789675</v>
      </c>
      <c r="J208" s="32">
        <v>3.9</v>
      </c>
      <c r="K208" s="56"/>
      <c r="L208" s="56"/>
      <c r="M208" s="22">
        <f t="shared" si="64"/>
        <v>-70.083623366233638</v>
      </c>
      <c r="N208" s="10">
        <f t="shared" si="65"/>
        <v>-0.57587200793947113</v>
      </c>
      <c r="O208" s="22"/>
      <c r="P208" s="22"/>
      <c r="Q208" s="89">
        <v>121.7</v>
      </c>
      <c r="R208" s="89"/>
      <c r="S208" s="5"/>
      <c r="T208" s="5"/>
      <c r="U208" s="5"/>
    </row>
    <row r="209" spans="1:21" x14ac:dyDescent="0.25">
      <c r="A209" s="8" t="s">
        <v>12</v>
      </c>
      <c r="B209" s="11">
        <v>1994</v>
      </c>
      <c r="C209" s="11">
        <v>1994</v>
      </c>
      <c r="D209" s="11">
        <v>1994</v>
      </c>
      <c r="E209" s="11">
        <v>1994</v>
      </c>
      <c r="F209" s="11">
        <v>1994</v>
      </c>
      <c r="G209" s="11">
        <v>1994</v>
      </c>
      <c r="H209" s="11">
        <v>1994</v>
      </c>
      <c r="I209" s="11">
        <v>1994</v>
      </c>
      <c r="J209" s="47" t="s">
        <v>70</v>
      </c>
      <c r="K209" s="27"/>
      <c r="L209" s="27"/>
      <c r="M209" s="39" t="s">
        <v>60</v>
      </c>
      <c r="N209" s="39" t="s">
        <v>73</v>
      </c>
      <c r="O209" s="105" t="s">
        <v>57</v>
      </c>
      <c r="P209" s="105"/>
      <c r="Q209" s="10"/>
      <c r="R209" s="10"/>
      <c r="S209" s="5"/>
      <c r="T209" s="5"/>
      <c r="U209" s="5"/>
    </row>
    <row r="210" spans="1:21" x14ac:dyDescent="0.25">
      <c r="A210" s="8" t="s">
        <v>0</v>
      </c>
      <c r="B210" s="31">
        <v>181</v>
      </c>
      <c r="D210" s="1">
        <v>13369</v>
      </c>
      <c r="E210" s="5"/>
      <c r="F210" s="5"/>
      <c r="G210" s="26">
        <f>(5.01*(B210^0.59)*Z$69)/(86.4*I$12)</f>
        <v>16.743946825273021</v>
      </c>
      <c r="H210" s="42">
        <f>L$30^(J210-(0.6458446*LN(P$34))-(9.53942*N210*(P$34/P$33))+(4.8904*N210))</f>
        <v>248.88670275386224</v>
      </c>
      <c r="I210" s="42">
        <f>L$30^(K$28-(0.6458446*LN(P$34))-(9.53942*N210*(P$34/P$33))+(4.8904*N210))</f>
        <v>2.263693528473921</v>
      </c>
      <c r="J210" s="32">
        <v>4.7</v>
      </c>
      <c r="K210" s="56"/>
      <c r="L210" s="56"/>
      <c r="M210" s="22">
        <f>(B210-(0.74*P$211))</f>
        <v>126.81658590938412</v>
      </c>
      <c r="N210" s="10">
        <f>M210/Q210</f>
        <v>1.002502655410151</v>
      </c>
      <c r="O210" s="50" t="s">
        <v>58</v>
      </c>
      <c r="P210" s="22">
        <f>(B210+B211+B212+B213+B214+B215+B216+B217+B218+B219+B220+B221)/12</f>
        <v>67.14166666666668</v>
      </c>
      <c r="Q210" s="89">
        <v>126.5</v>
      </c>
      <c r="R210" s="89"/>
      <c r="S210" s="5"/>
      <c r="T210" s="5"/>
      <c r="U210" s="5"/>
    </row>
    <row r="211" spans="1:21" x14ac:dyDescent="0.25">
      <c r="A211" s="8" t="s">
        <v>1</v>
      </c>
      <c r="B211" s="31">
        <v>160.1</v>
      </c>
      <c r="D211" s="10">
        <v>15.41</v>
      </c>
      <c r="E211" s="5"/>
      <c r="F211" s="5"/>
      <c r="G211" s="26">
        <f>(5.01*(B211^0.59)*Z$69)/(86.4*J$13)</f>
        <v>16.64876636091471</v>
      </c>
      <c r="H211" s="42">
        <f>L$30^(J211-(0.6458446*LN(P$34))-(9.53942*N211*(P$34/P$33))+(4.8904*N211))</f>
        <v>257.84336275570303</v>
      </c>
      <c r="I211" s="42">
        <f>L$30^(K$28-(0.6458446*LN(P$34))-(9.53942*N211*(P$34/P$33))+(4.8904*N211))</f>
        <v>2.3451568330963442</v>
      </c>
      <c r="J211" s="32">
        <v>4.7</v>
      </c>
      <c r="K211" s="56"/>
      <c r="L211" s="56"/>
      <c r="M211" s="22">
        <f t="shared" ref="M211:M221" si="68">(B211-(0.74*P$211))</f>
        <v>105.91658590938411</v>
      </c>
      <c r="N211" s="10">
        <f t="shared" ref="N211:N221" si="69">M211/Q211</f>
        <v>0.92422849833668508</v>
      </c>
      <c r="O211" s="50" t="s">
        <v>66</v>
      </c>
      <c r="P211" s="22">
        <f>((((B210-P210)^2+(B211-P210)^2+(B212-P210)^2+(B213-P210)^2+(B214-P210)^2+(B215-P210)^2+(B216-P210)^2+(B217-P210)^2+(B218-P210)^2+(B219-P210)^2+(B220-P210)^2+(B221-P210)^2))/(12-1))^0.5</f>
        <v>73.220829852183627</v>
      </c>
      <c r="Q211" s="89">
        <v>114.6</v>
      </c>
      <c r="R211" s="89"/>
      <c r="S211" s="5"/>
      <c r="T211" s="5"/>
      <c r="U211" s="5"/>
    </row>
    <row r="212" spans="1:21" x14ac:dyDescent="0.25">
      <c r="A212" s="8" t="s">
        <v>2</v>
      </c>
      <c r="B212" s="31">
        <v>170.5</v>
      </c>
      <c r="C212" s="5"/>
      <c r="D212" s="1">
        <v>15336</v>
      </c>
      <c r="E212" s="5"/>
      <c r="F212" s="5"/>
      <c r="G212" s="26">
        <f>(5.01*(B212^0.59)*Z$69)/(86.4*I$14)</f>
        <v>16.163851918950193</v>
      </c>
      <c r="H212" s="42">
        <f>L$30^(J212-(0.6458446*LN(P$34))-(9.53942*N212*(P$34/P$33))+(4.8904*N212))</f>
        <v>261.62438614286327</v>
      </c>
      <c r="I212" s="42">
        <f>L$30^(K$28-(0.6458446*LN(P$34))-(9.53942*N212*(P$34/P$33))+(4.8904*N212))</f>
        <v>2.3795462885305616</v>
      </c>
      <c r="J212" s="32">
        <v>4.7</v>
      </c>
      <c r="K212" s="56"/>
      <c r="L212" s="58"/>
      <c r="M212" s="22">
        <f t="shared" si="68"/>
        <v>116.31658590938412</v>
      </c>
      <c r="N212" s="10">
        <f t="shared" si="69"/>
        <v>0.89199835820079842</v>
      </c>
      <c r="O212" s="22"/>
      <c r="P212" s="22"/>
      <c r="Q212" s="89">
        <v>130.4</v>
      </c>
      <c r="R212" s="89"/>
      <c r="S212" s="5"/>
      <c r="T212" s="5"/>
      <c r="U212" s="5"/>
    </row>
    <row r="213" spans="1:21" x14ac:dyDescent="0.25">
      <c r="A213" s="8" t="s">
        <v>3</v>
      </c>
      <c r="B213" s="31">
        <v>90</v>
      </c>
      <c r="C213" s="5"/>
      <c r="D213" s="1">
        <v>11377</v>
      </c>
      <c r="E213" s="5"/>
      <c r="F213" s="5"/>
      <c r="G213" s="26">
        <f>(5.01*(B213^0.59)*Z$69)/(86.4*I$15)</f>
        <v>11.457002203754502</v>
      </c>
      <c r="H213" s="42">
        <f>L$30^(J213-(0.6458446*LN(P$34))-(9.53942*N213*(P$34/P$33))+(4.8904*N213))</f>
        <v>344.95602214864704</v>
      </c>
      <c r="I213" s="42">
        <f>L$30^(K$28-(0.6458446*LN(P$34))-(9.53942*N213*(P$34/P$33))+(4.8904*N213))</f>
        <v>3.1374706093408653</v>
      </c>
      <c r="J213" s="32">
        <v>4.7</v>
      </c>
      <c r="K213" s="56"/>
      <c r="L213" s="56"/>
      <c r="M213" s="22">
        <f t="shared" si="68"/>
        <v>35.816585909384116</v>
      </c>
      <c r="N213" s="10">
        <f t="shared" si="69"/>
        <v>0.27981707741706341</v>
      </c>
      <c r="O213" s="22"/>
      <c r="P213" s="22"/>
      <c r="Q213" s="89">
        <v>128</v>
      </c>
      <c r="R213" s="89"/>
      <c r="S213" s="5"/>
      <c r="T213" s="5"/>
      <c r="U213" s="5"/>
    </row>
    <row r="214" spans="1:21" x14ac:dyDescent="0.25">
      <c r="A214" s="8" t="s">
        <v>4</v>
      </c>
      <c r="B214" s="31">
        <v>94.9</v>
      </c>
      <c r="C214" s="5"/>
      <c r="D214" s="10">
        <v>10.37</v>
      </c>
      <c r="E214" s="5"/>
      <c r="F214" s="5"/>
      <c r="G214" s="26">
        <f>(5.01*(B214^0.59)*Z$69)/(86.4*I$16)</f>
        <v>11.43969754533193</v>
      </c>
      <c r="H214" s="42">
        <f t="shared" ref="H214:H221" si="70">L$30^(J214-(0.6458446*LN(P$34))-(9.53942*N214*(P$34/P$33))+(4.8904*N214))</f>
        <v>337.31308205373028</v>
      </c>
      <c r="I214" s="42">
        <f t="shared" ref="I214:I221" si="71">L$30^(K$28-(0.6458446*LN(P$34))-(9.53942*N214*(P$34/P$33))+(4.8904*N214))</f>
        <v>3.0679559513059314</v>
      </c>
      <c r="J214" s="32">
        <v>4.7</v>
      </c>
      <c r="K214" s="56"/>
      <c r="L214" s="56"/>
      <c r="M214" s="22">
        <f t="shared" si="68"/>
        <v>40.716585909384122</v>
      </c>
      <c r="N214" s="10">
        <f t="shared" si="69"/>
        <v>0.32942221609534078</v>
      </c>
      <c r="O214" s="59"/>
      <c r="P214" s="59"/>
      <c r="Q214" s="89">
        <v>123.6</v>
      </c>
      <c r="R214" s="89"/>
      <c r="S214" s="5"/>
      <c r="T214" s="5"/>
      <c r="U214" s="5"/>
    </row>
    <row r="215" spans="1:21" x14ac:dyDescent="0.25">
      <c r="A215" s="8" t="s">
        <v>5</v>
      </c>
      <c r="B215" s="31">
        <v>13.7</v>
      </c>
      <c r="C215" s="5"/>
      <c r="D215" s="1">
        <v>4581</v>
      </c>
      <c r="E215" s="5"/>
      <c r="F215" s="5"/>
      <c r="G215" s="26">
        <f>(5.01*(B215^0.59)*Z$69)/(86.4*I$17)</f>
        <v>3.7734017861143836</v>
      </c>
      <c r="H215" s="42">
        <f t="shared" si="70"/>
        <v>207.84506180291598</v>
      </c>
      <c r="I215" s="42">
        <f t="shared" si="71"/>
        <v>4.2071813354626384</v>
      </c>
      <c r="J215" s="32">
        <v>3.9</v>
      </c>
      <c r="K215" s="56"/>
      <c r="L215" s="56"/>
      <c r="M215" s="22">
        <f t="shared" si="68"/>
        <v>-40.483414090615881</v>
      </c>
      <c r="N215" s="10">
        <f t="shared" si="69"/>
        <v>-0.36971154420653773</v>
      </c>
      <c r="O215" s="59"/>
      <c r="P215" s="59"/>
      <c r="Q215" s="89">
        <v>109.5</v>
      </c>
      <c r="R215" s="89"/>
      <c r="S215" s="5"/>
      <c r="T215" s="5"/>
      <c r="U215" s="5"/>
    </row>
    <row r="216" spans="1:21" x14ac:dyDescent="0.25">
      <c r="A216" s="8" t="s">
        <v>6</v>
      </c>
      <c r="B216" s="31">
        <v>0.1</v>
      </c>
      <c r="C216" s="5"/>
      <c r="D216" s="10">
        <v>1.25</v>
      </c>
      <c r="E216" s="5"/>
      <c r="F216" s="5"/>
      <c r="G216" s="26">
        <f>(5.01*(B216^0.59)*Z$69)/(86.4*I$18)</f>
        <v>0.20036759109694574</v>
      </c>
      <c r="H216" s="42">
        <f t="shared" si="70"/>
        <v>49.469172232314769</v>
      </c>
      <c r="I216" s="42">
        <f t="shared" si="71"/>
        <v>4.4877420558373231</v>
      </c>
      <c r="J216" s="32">
        <v>2.4</v>
      </c>
      <c r="K216" s="56"/>
      <c r="L216" s="56"/>
      <c r="M216" s="22">
        <f t="shared" si="68"/>
        <v>-54.083414090615882</v>
      </c>
      <c r="N216" s="10">
        <f t="shared" si="69"/>
        <v>-0.51263899611958186</v>
      </c>
      <c r="O216" s="59"/>
      <c r="P216" s="59"/>
      <c r="Q216" s="89">
        <v>105.5</v>
      </c>
      <c r="R216" s="89"/>
      <c r="S216" s="5"/>
      <c r="T216" s="5"/>
      <c r="U216" s="5"/>
    </row>
    <row r="217" spans="1:21" x14ac:dyDescent="0.25">
      <c r="A217" s="8" t="s">
        <v>7</v>
      </c>
      <c r="B217" s="31">
        <v>0</v>
      </c>
      <c r="C217" s="5"/>
      <c r="D217" s="10">
        <v>0.36699999999999999</v>
      </c>
      <c r="E217" s="5"/>
      <c r="F217" s="5"/>
      <c r="G217" s="26">
        <f>(5.01*(B217^0.59)*Z$69)/(86.4*I$19)</f>
        <v>0</v>
      </c>
      <c r="H217" s="42">
        <f t="shared" si="70"/>
        <v>13.523741222234523</v>
      </c>
      <c r="I217" s="42">
        <f t="shared" si="71"/>
        <v>4.5016623962978901</v>
      </c>
      <c r="J217" s="32">
        <v>1.1000000000000001</v>
      </c>
      <c r="K217" s="56"/>
      <c r="L217" s="56"/>
      <c r="M217" s="22">
        <f t="shared" si="68"/>
        <v>-54.183414090615884</v>
      </c>
      <c r="N217" s="10">
        <f t="shared" si="69"/>
        <v>-0.51949582061951949</v>
      </c>
      <c r="O217" s="60"/>
      <c r="P217" s="59"/>
      <c r="Q217" s="89">
        <v>104.3</v>
      </c>
      <c r="R217" s="89"/>
      <c r="S217" s="5"/>
      <c r="T217" s="5"/>
      <c r="U217" s="5"/>
    </row>
    <row r="218" spans="1:21" x14ac:dyDescent="0.25">
      <c r="A218" s="8" t="s">
        <v>8</v>
      </c>
      <c r="B218" s="31">
        <v>0.6</v>
      </c>
      <c r="C218" s="5"/>
      <c r="D218" s="10">
        <v>0.30399999999999999</v>
      </c>
      <c r="E218" s="5"/>
      <c r="F218" s="5"/>
      <c r="G218" s="26">
        <f>(5.01*(B218^0.59)*Z$69)/(86.4*I$20)</f>
        <v>0.59590517063119841</v>
      </c>
      <c r="H218" s="42">
        <f t="shared" si="70"/>
        <v>13.575268838504345</v>
      </c>
      <c r="I218" s="42">
        <f t="shared" si="71"/>
        <v>4.5188144497660057</v>
      </c>
      <c r="J218" s="32">
        <v>1.1000000000000001</v>
      </c>
      <c r="K218" s="56"/>
      <c r="L218" s="56"/>
      <c r="M218" s="22">
        <f t="shared" si="68"/>
        <v>-53.583414090615882</v>
      </c>
      <c r="N218" s="10">
        <f t="shared" si="69"/>
        <v>-0.52791540975976237</v>
      </c>
      <c r="O218" s="59"/>
      <c r="P218" s="59"/>
      <c r="Q218" s="89">
        <v>101.5</v>
      </c>
      <c r="R218" s="89"/>
      <c r="S218" s="5"/>
      <c r="T218" s="5"/>
      <c r="U218" s="5"/>
    </row>
    <row r="219" spans="1:21" ht="18.75" x14ac:dyDescent="0.3">
      <c r="A219" s="8" t="s">
        <v>9</v>
      </c>
      <c r="B219" s="31">
        <v>3.7</v>
      </c>
      <c r="C219" s="5"/>
      <c r="D219" s="10">
        <v>0.89100000000000001</v>
      </c>
      <c r="E219" s="5"/>
      <c r="F219" s="5"/>
      <c r="G219" s="26">
        <f>(5.01*(B219^0.59)*Z$69)/(86.4*I$21)</f>
        <v>1.6868112706398282</v>
      </c>
      <c r="H219" s="42">
        <f t="shared" si="70"/>
        <v>48.422328098940895</v>
      </c>
      <c r="I219" s="42">
        <f t="shared" si="71"/>
        <v>4.3927744986446102</v>
      </c>
      <c r="J219" s="32">
        <v>2.4</v>
      </c>
      <c r="K219" s="56"/>
      <c r="L219" s="56"/>
      <c r="M219" s="22">
        <f t="shared" si="68"/>
        <v>-50.483414090615881</v>
      </c>
      <c r="N219" s="10">
        <f t="shared" si="69"/>
        <v>-0.4652849224941556</v>
      </c>
      <c r="O219" s="61"/>
      <c r="P219" s="62"/>
      <c r="Q219" s="89">
        <v>108.5</v>
      </c>
      <c r="R219" s="89"/>
      <c r="S219" s="5"/>
      <c r="T219" s="5"/>
      <c r="U219" s="5"/>
    </row>
    <row r="220" spans="1:21" x14ac:dyDescent="0.25">
      <c r="A220" s="8" t="s">
        <v>10</v>
      </c>
      <c r="B220" s="31">
        <v>0</v>
      </c>
      <c r="C220" s="5"/>
      <c r="D220" s="10">
        <v>0.52100000000000002</v>
      </c>
      <c r="E220" s="5"/>
      <c r="F220" s="5"/>
      <c r="G220" s="26">
        <f>(5.01*(B220^0.59)*Z$69)/(86.4*I$22)</f>
        <v>0</v>
      </c>
      <c r="H220" s="42">
        <f t="shared" si="70"/>
        <v>218.83434272577742</v>
      </c>
      <c r="I220" s="42">
        <f t="shared" si="71"/>
        <v>4.4296253867562818</v>
      </c>
      <c r="J220" s="32">
        <v>3.9</v>
      </c>
      <c r="K220" s="56"/>
      <c r="L220" s="56"/>
      <c r="M220" s="22">
        <f t="shared" si="68"/>
        <v>-54.183414090615884</v>
      </c>
      <c r="N220" s="10">
        <f>M220/Q220</f>
        <v>-0.48378048295192755</v>
      </c>
      <c r="O220" s="10"/>
      <c r="P220" s="22"/>
      <c r="Q220" s="89">
        <v>112</v>
      </c>
      <c r="R220" s="89"/>
      <c r="S220" s="5"/>
      <c r="T220" s="5"/>
      <c r="U220" s="5"/>
    </row>
    <row r="221" spans="1:21" x14ac:dyDescent="0.25">
      <c r="A221" s="8" t="s">
        <v>11</v>
      </c>
      <c r="B221" s="31">
        <v>91.1</v>
      </c>
      <c r="C221" s="5"/>
      <c r="D221" s="10">
        <v>8.3000000000000007</v>
      </c>
      <c r="E221" s="5"/>
      <c r="F221" s="5"/>
      <c r="G221" s="26">
        <f>(5.01*(B221^0.59)*Z$69)/(86.4*I$23)</f>
        <v>11.167174932390587</v>
      </c>
      <c r="H221" s="42">
        <f t="shared" si="70"/>
        <v>153.36057002187192</v>
      </c>
      <c r="I221" s="42">
        <f t="shared" si="71"/>
        <v>3.1043110776610177</v>
      </c>
      <c r="J221" s="32">
        <v>3.9</v>
      </c>
      <c r="K221" s="56"/>
      <c r="L221" s="56"/>
      <c r="M221" s="22">
        <f t="shared" si="68"/>
        <v>36.916585909384111</v>
      </c>
      <c r="N221" s="10">
        <f t="shared" si="69"/>
        <v>0.30334088668351777</v>
      </c>
      <c r="O221" s="22"/>
      <c r="P221" s="22"/>
      <c r="Q221" s="89">
        <v>121.7</v>
      </c>
      <c r="R221" s="89"/>
      <c r="S221" s="5"/>
      <c r="T221" s="5"/>
      <c r="U221" s="5"/>
    </row>
    <row r="222" spans="1:21" x14ac:dyDescent="0.25">
      <c r="A222" s="8" t="s">
        <v>12</v>
      </c>
      <c r="B222" s="11">
        <v>1995</v>
      </c>
      <c r="C222" s="11">
        <v>1995</v>
      </c>
      <c r="D222" s="11">
        <v>1995</v>
      </c>
      <c r="E222" s="11">
        <v>1995</v>
      </c>
      <c r="F222" s="11">
        <v>1995</v>
      </c>
      <c r="G222" s="11">
        <v>1995</v>
      </c>
      <c r="H222" s="11">
        <v>1995</v>
      </c>
      <c r="I222" s="11">
        <v>1995</v>
      </c>
      <c r="J222" s="47" t="s">
        <v>70</v>
      </c>
      <c r="K222" s="27"/>
      <c r="L222" s="27"/>
      <c r="M222" s="39" t="s">
        <v>60</v>
      </c>
      <c r="N222" s="39" t="s">
        <v>73</v>
      </c>
      <c r="O222" s="105" t="s">
        <v>57</v>
      </c>
      <c r="P222" s="105"/>
      <c r="Q222" s="10"/>
      <c r="R222" s="10"/>
      <c r="S222" s="5"/>
      <c r="T222" s="5"/>
      <c r="U222" s="5"/>
    </row>
    <row r="223" spans="1:21" x14ac:dyDescent="0.25">
      <c r="A223" s="8" t="s">
        <v>0</v>
      </c>
      <c r="B223" s="31">
        <v>173.2</v>
      </c>
      <c r="C223" s="5"/>
      <c r="D223" s="1">
        <v>14482</v>
      </c>
      <c r="E223" s="5"/>
      <c r="F223" s="5"/>
      <c r="G223" s="26">
        <f>(5.01*(B223^0.59)*Z$69)/(86.4*I$12)</f>
        <v>16.314385892347122</v>
      </c>
      <c r="H223" s="42">
        <f>L$30^(J223-(0.6458446*LN(P$34))-(9.53942*N223*(P$34/P$33))+(4.8904*N223))</f>
        <v>257.27215065290744</v>
      </c>
      <c r="I223" s="42">
        <f>L$30^(K$28-(0.6458446*LN(P$34))-(9.53942*N223*(P$34/P$33))+(4.8904*N223))</f>
        <v>2.339961500737576</v>
      </c>
      <c r="J223" s="32">
        <v>4.7</v>
      </c>
      <c r="K223" s="56"/>
      <c r="L223" s="56"/>
      <c r="M223" s="22">
        <f>(B223-(0.74*P$224))</f>
        <v>117.53604178889833</v>
      </c>
      <c r="N223" s="10">
        <f>M223/Q223</f>
        <v>0.92913867026797103</v>
      </c>
      <c r="O223" s="50" t="s">
        <v>58</v>
      </c>
      <c r="P223" s="22">
        <f>(B223+B224+B225+B226+B227+B228+B229+B230+B231+B232+B233+B234)/12</f>
        <v>48.874999999999993</v>
      </c>
      <c r="Q223" s="89">
        <v>126.5</v>
      </c>
      <c r="R223" s="89"/>
      <c r="S223" s="5"/>
      <c r="T223" s="5"/>
      <c r="U223" s="5"/>
    </row>
    <row r="224" spans="1:21" x14ac:dyDescent="0.25">
      <c r="A224" s="8" t="s">
        <v>1</v>
      </c>
      <c r="B224" s="31">
        <v>212.2</v>
      </c>
      <c r="C224" s="5"/>
      <c r="D224" s="10">
        <v>17.72</v>
      </c>
      <c r="E224" s="5"/>
      <c r="F224" s="5"/>
      <c r="G224" s="26">
        <f>(5.01*(B224^0.59)*Z$69)/(86.4*J$13)</f>
        <v>19.659431129801856</v>
      </c>
      <c r="H224" s="42">
        <f>L$30^(J224-(0.6458446*LN(P$34))-(9.53942*N224*(P$34/P$33))+(4.8904*N224))</f>
        <v>211.20829727551097</v>
      </c>
      <c r="I224" s="42">
        <f>L$30^(K$28-(0.6458446*LN(P$34))-(9.53942*N224*(P$34/P$33))+(4.8904*N224))</f>
        <v>1.9209979898982421</v>
      </c>
      <c r="J224" s="32">
        <v>4.7</v>
      </c>
      <c r="K224" s="56"/>
      <c r="L224" s="56"/>
      <c r="M224" s="22">
        <f t="shared" ref="M224:M234" si="72">(B224-(0.74*P$224))</f>
        <v>156.53604178889833</v>
      </c>
      <c r="N224" s="10">
        <f t="shared" ref="N224:N234" si="73">M224/Q224</f>
        <v>1.3659340470235457</v>
      </c>
      <c r="O224" s="50" t="s">
        <v>66</v>
      </c>
      <c r="P224" s="22">
        <f>((((B223-P223)^2+(B224-P223)^2+(B225-P223)^2+(B226-P223)^2+(B227-P223)^2+(B228-P223)^2+(B229-P223)^2+(B230-P223)^2+(B231-P223)^2+(B232-P223)^2+(B233-P223)^2+(B234-P223)^2))/(12-1))^0.5</f>
        <v>75.22156515013738</v>
      </c>
      <c r="Q224" s="89">
        <v>114.6</v>
      </c>
      <c r="R224" s="89"/>
      <c r="S224" s="5"/>
      <c r="T224" s="5"/>
      <c r="U224" s="5"/>
    </row>
    <row r="225" spans="1:21" x14ac:dyDescent="0.25">
      <c r="A225" s="8" t="s">
        <v>2</v>
      </c>
      <c r="B225" s="31">
        <v>61.8</v>
      </c>
      <c r="C225" s="5"/>
      <c r="D225" s="1">
        <v>10225</v>
      </c>
      <c r="E225" s="5"/>
      <c r="F225" s="5"/>
      <c r="G225" s="26">
        <f>(5.01*(B225^0.59)*Z$69)/(86.4*I$14)</f>
        <v>8.8819981268513377</v>
      </c>
      <c r="H225" s="42">
        <f>L$30^(J225-(0.6458446*LN(P$34))-(9.53942*N225*(P$34/P$33))+(4.8904*N225))</f>
        <v>383.19712866012213</v>
      </c>
      <c r="I225" s="42">
        <f>L$30^(K$28-(0.6458446*LN(P$34))-(9.53942*N225*(P$34/P$33))+(4.8904*N225))</f>
        <v>3.4852840697382184</v>
      </c>
      <c r="J225" s="32">
        <v>4.7</v>
      </c>
      <c r="K225" s="56"/>
      <c r="L225" s="58"/>
      <c r="M225" s="22">
        <f t="shared" si="72"/>
        <v>6.1360417888983392</v>
      </c>
      <c r="N225" s="10">
        <f t="shared" si="73"/>
        <v>4.7055535190938184E-2</v>
      </c>
      <c r="O225" s="22"/>
      <c r="P225" s="22"/>
      <c r="Q225" s="89">
        <v>130.4</v>
      </c>
      <c r="R225" s="89"/>
      <c r="S225" s="5"/>
      <c r="T225" s="5"/>
      <c r="U225" s="5"/>
    </row>
    <row r="226" spans="1:21" x14ac:dyDescent="0.25">
      <c r="A226" s="8" t="s">
        <v>3</v>
      </c>
      <c r="B226" s="31">
        <v>108.8</v>
      </c>
      <c r="C226" s="5"/>
      <c r="D226" s="1">
        <v>10662</v>
      </c>
      <c r="E226" s="5"/>
      <c r="F226" s="5"/>
      <c r="G226" s="26">
        <f>(5.01*(B226^0.59)*Z$69)/(86.4*I$15)</f>
        <v>12.813830188186815</v>
      </c>
      <c r="H226" s="42">
        <f>L$30^(J226-(0.6458446*LN(P$34))-(9.53942*N226*(P$34/P$33))+(4.8904*N226))</f>
        <v>324.50519862049521</v>
      </c>
      <c r="I226" s="42">
        <f>L$30^(K$28-(0.6458446*LN(P$34))-(9.53942*N226*(P$34/P$33))+(4.8904*N226))</f>
        <v>2.9514647023944329</v>
      </c>
      <c r="J226" s="32">
        <v>4.7</v>
      </c>
      <c r="K226" s="56"/>
      <c r="L226" s="56"/>
      <c r="M226" s="22">
        <f t="shared" si="72"/>
        <v>53.136041788898339</v>
      </c>
      <c r="N226" s="10">
        <f t="shared" si="73"/>
        <v>0.41512532647576827</v>
      </c>
      <c r="O226" s="22"/>
      <c r="P226" s="22"/>
      <c r="Q226" s="89">
        <v>128</v>
      </c>
      <c r="R226" s="89"/>
      <c r="S226" s="5"/>
      <c r="T226" s="5"/>
      <c r="U226" s="5"/>
    </row>
    <row r="227" spans="1:21" x14ac:dyDescent="0.25">
      <c r="A227" s="8" t="s">
        <v>4</v>
      </c>
      <c r="B227" s="31">
        <v>11.1</v>
      </c>
      <c r="C227" s="5"/>
      <c r="D227" s="1">
        <v>4507</v>
      </c>
      <c r="E227" s="5"/>
      <c r="F227" s="5"/>
      <c r="G227" s="26">
        <f>(5.01*(B227^0.59)*Z$69)/(86.4*I$16)</f>
        <v>3.2252845368984082</v>
      </c>
      <c r="H227" s="42">
        <f t="shared" ref="H227:H234" si="74">L$30^(J227-(0.6458446*LN(P$34))-(9.53942*N227*(P$34/P$33))+(4.8904*N227))</f>
        <v>460.65748537465856</v>
      </c>
      <c r="I227" s="42">
        <f t="shared" ref="I227:I234" si="75">L$30^(K$28-(0.6458446*LN(P$34))-(9.53942*N227*(P$34/P$33))+(4.8904*N227))</f>
        <v>4.1898074784531758</v>
      </c>
      <c r="J227" s="32">
        <v>4.7</v>
      </c>
      <c r="K227" s="56"/>
      <c r="L227" s="56"/>
      <c r="M227" s="22">
        <f t="shared" si="72"/>
        <v>-44.563958211101657</v>
      </c>
      <c r="N227" s="10">
        <f t="shared" si="73"/>
        <v>-0.36054982371441474</v>
      </c>
      <c r="O227" s="59"/>
      <c r="P227" s="59"/>
      <c r="Q227" s="89">
        <v>123.6</v>
      </c>
      <c r="R227" s="89"/>
      <c r="S227" s="5"/>
      <c r="T227" s="5"/>
      <c r="U227" s="5"/>
    </row>
    <row r="228" spans="1:21" x14ac:dyDescent="0.25">
      <c r="A228" s="8" t="s">
        <v>5</v>
      </c>
      <c r="B228" s="31">
        <v>4.3</v>
      </c>
      <c r="C228" s="5"/>
      <c r="D228" s="1">
        <v>1554</v>
      </c>
      <c r="E228" s="5"/>
      <c r="F228" s="5"/>
      <c r="G228" s="26">
        <f>(5.01*(B228^0.59)*Z$69)/(86.4*I$17)</f>
        <v>1.9046461573624307</v>
      </c>
      <c r="H228" s="42">
        <f t="shared" si="74"/>
        <v>217.38585958178908</v>
      </c>
      <c r="I228" s="42">
        <f t="shared" si="75"/>
        <v>4.4003053192249295</v>
      </c>
      <c r="J228" s="32">
        <v>3.9</v>
      </c>
      <c r="K228" s="56"/>
      <c r="L228" s="56"/>
      <c r="M228" s="22">
        <f t="shared" si="72"/>
        <v>-51.363958211101661</v>
      </c>
      <c r="N228" s="10">
        <f t="shared" si="73"/>
        <v>-0.46907724393700145</v>
      </c>
      <c r="O228" s="59"/>
      <c r="P228" s="59"/>
      <c r="Q228" s="89">
        <v>109.5</v>
      </c>
      <c r="R228" s="89"/>
      <c r="S228" s="5"/>
      <c r="T228" s="5"/>
      <c r="U228" s="5"/>
    </row>
    <row r="229" spans="1:21" x14ac:dyDescent="0.25">
      <c r="A229" s="8" t="s">
        <v>6</v>
      </c>
      <c r="B229" s="31">
        <v>7.3</v>
      </c>
      <c r="C229" s="5"/>
      <c r="D229" s="1">
        <v>1521</v>
      </c>
      <c r="E229" s="5"/>
      <c r="F229" s="5"/>
      <c r="G229" s="26">
        <f>(5.01*(B229^0.59)*Z$69)/(86.4*I$18)</f>
        <v>2.5187668244041732</v>
      </c>
      <c r="H229" s="42">
        <f t="shared" si="74"/>
        <v>48.272550749032462</v>
      </c>
      <c r="I229" s="42">
        <f t="shared" si="75"/>
        <v>4.3791870040118059</v>
      </c>
      <c r="J229" s="32">
        <v>2.4</v>
      </c>
      <c r="K229" s="56"/>
      <c r="L229" s="56"/>
      <c r="M229" s="22">
        <f t="shared" si="72"/>
        <v>-48.363958211101661</v>
      </c>
      <c r="N229" s="10">
        <f t="shared" si="73"/>
        <v>-0.45842614418105837</v>
      </c>
      <c r="O229" s="59"/>
      <c r="P229" s="59"/>
      <c r="Q229" s="89">
        <v>105.5</v>
      </c>
      <c r="R229" s="89"/>
      <c r="S229" s="5"/>
      <c r="T229" s="5"/>
      <c r="U229" s="5"/>
    </row>
    <row r="230" spans="1:21" x14ac:dyDescent="0.25">
      <c r="A230" s="8" t="s">
        <v>7</v>
      </c>
      <c r="B230" s="31">
        <v>3.9</v>
      </c>
      <c r="C230" s="5"/>
      <c r="D230" s="1">
        <v>1235</v>
      </c>
      <c r="E230" s="5"/>
      <c r="F230" s="5"/>
      <c r="G230" s="26">
        <f>(5.01*(B230^0.59)*Z$69)/(86.4*I$19)</f>
        <v>1.7400254286628019</v>
      </c>
      <c r="H230" s="42">
        <f t="shared" si="74"/>
        <v>13.382785305048881</v>
      </c>
      <c r="I230" s="42">
        <f t="shared" si="75"/>
        <v>4.4547422473906453</v>
      </c>
      <c r="J230" s="32">
        <v>1.1000000000000001</v>
      </c>
      <c r="K230" s="56"/>
      <c r="L230" s="56"/>
      <c r="M230" s="22">
        <f t="shared" si="72"/>
        <v>-51.763958211101659</v>
      </c>
      <c r="N230" s="10">
        <f t="shared" si="73"/>
        <v>-0.49629873644392769</v>
      </c>
      <c r="O230" s="60"/>
      <c r="P230" s="59"/>
      <c r="Q230" s="89">
        <v>104.3</v>
      </c>
      <c r="R230" s="89"/>
      <c r="S230" s="5"/>
      <c r="T230" s="5"/>
      <c r="U230" s="5"/>
    </row>
    <row r="231" spans="1:21" x14ac:dyDescent="0.25">
      <c r="A231" s="8" t="s">
        <v>8</v>
      </c>
      <c r="B231" s="31">
        <v>0.3</v>
      </c>
      <c r="C231" s="5"/>
      <c r="D231" s="10">
        <v>0.60799999999999998</v>
      </c>
      <c r="E231" s="5"/>
      <c r="F231" s="5"/>
      <c r="G231" s="26">
        <f>(5.01*(B231^0.59)*Z$69)/(86.4*I$20)</f>
        <v>0.3958853733822173</v>
      </c>
      <c r="H231" s="42">
        <f t="shared" si="74"/>
        <v>13.683258720777456</v>
      </c>
      <c r="I231" s="42">
        <f t="shared" si="75"/>
        <v>4.5547611589066825</v>
      </c>
      <c r="J231" s="32">
        <v>1.1000000000000001</v>
      </c>
      <c r="K231" s="56"/>
      <c r="L231" s="56"/>
      <c r="M231" s="22">
        <f t="shared" si="72"/>
        <v>-55.363958211101661</v>
      </c>
      <c r="N231" s="10">
        <f t="shared" si="73"/>
        <v>-0.54545771636553364</v>
      </c>
      <c r="O231" s="59"/>
      <c r="P231" s="59"/>
      <c r="Q231" s="89">
        <v>101.5</v>
      </c>
      <c r="R231" s="89"/>
      <c r="S231" s="5"/>
      <c r="T231" s="5"/>
      <c r="U231" s="5"/>
    </row>
    <row r="232" spans="1:21" ht="18.75" x14ac:dyDescent="0.3">
      <c r="A232" s="8" t="s">
        <v>9</v>
      </c>
      <c r="B232" s="31">
        <v>0</v>
      </c>
      <c r="C232" s="5"/>
      <c r="D232" s="10">
        <v>0.153</v>
      </c>
      <c r="E232" s="5"/>
      <c r="F232" s="5"/>
      <c r="G232" s="26">
        <f>(5.01*(B232^0.59)*Z$69)/(86.4*I$21)</f>
        <v>0</v>
      </c>
      <c r="H232" s="42">
        <f t="shared" si="74"/>
        <v>49.477951449637402</v>
      </c>
      <c r="I232" s="42">
        <f t="shared" si="75"/>
        <v>4.4885384884643145</v>
      </c>
      <c r="J232" s="32">
        <v>2.4</v>
      </c>
      <c r="K232" s="56"/>
      <c r="L232" s="56"/>
      <c r="M232" s="22">
        <f t="shared" si="72"/>
        <v>-55.663958211101658</v>
      </c>
      <c r="N232" s="10">
        <f t="shared" si="73"/>
        <v>-0.51303187291337937</v>
      </c>
      <c r="O232" s="61"/>
      <c r="P232" s="62"/>
      <c r="Q232" s="89">
        <v>108.5</v>
      </c>
      <c r="R232" s="89"/>
      <c r="S232" s="5"/>
      <c r="T232" s="5"/>
      <c r="U232" s="5"/>
    </row>
    <row r="233" spans="1:21" x14ac:dyDescent="0.25">
      <c r="A233" s="8" t="s">
        <v>10</v>
      </c>
      <c r="B233" s="31">
        <v>0.1</v>
      </c>
      <c r="C233" s="5"/>
      <c r="D233" s="10">
        <v>0.112</v>
      </c>
      <c r="E233" s="5"/>
      <c r="F233" s="5"/>
      <c r="G233" s="26">
        <f>(5.01*(B233^0.59)*Z$69)/(86.4*I$22)</f>
        <v>0.20704651080017727</v>
      </c>
      <c r="H233" s="42">
        <f t="shared" si="74"/>
        <v>220.05609601217498</v>
      </c>
      <c r="I233" s="42">
        <f t="shared" si="75"/>
        <v>4.4543560085881655</v>
      </c>
      <c r="J233" s="32">
        <v>3.9</v>
      </c>
      <c r="K233" s="56"/>
      <c r="L233" s="56"/>
      <c r="M233" s="22">
        <f t="shared" si="72"/>
        <v>-55.563958211101657</v>
      </c>
      <c r="N233" s="10">
        <f t="shared" si="73"/>
        <v>-0.49610676974197909</v>
      </c>
      <c r="O233" s="62"/>
      <c r="P233" s="59"/>
      <c r="Q233" s="89">
        <v>112</v>
      </c>
      <c r="R233" s="89"/>
      <c r="S233" s="5"/>
      <c r="T233" s="5"/>
      <c r="U233" s="5"/>
    </row>
    <row r="234" spans="1:21" x14ac:dyDescent="0.25">
      <c r="A234" s="8" t="s">
        <v>11</v>
      </c>
      <c r="B234" s="31">
        <v>3.5</v>
      </c>
      <c r="C234" s="5"/>
      <c r="D234" s="10">
        <v>0.83799999999999997</v>
      </c>
      <c r="E234" s="5"/>
      <c r="F234" s="5"/>
      <c r="G234" s="26">
        <f>(5.01*(B234^0.59)*Z$69)/(86.4*I$23)</f>
        <v>1.6324038978598614</v>
      </c>
      <c r="H234" s="42">
        <f t="shared" si="74"/>
        <v>213.45024294292685</v>
      </c>
      <c r="I234" s="42">
        <f t="shared" si="75"/>
        <v>4.3206409157364405</v>
      </c>
      <c r="J234" s="32">
        <v>3.9</v>
      </c>
      <c r="K234" s="56"/>
      <c r="L234" s="56"/>
      <c r="M234" s="22">
        <f t="shared" si="72"/>
        <v>-52.163958211101658</v>
      </c>
      <c r="N234" s="10">
        <f t="shared" si="73"/>
        <v>-0.42862742983649676</v>
      </c>
      <c r="O234" s="22"/>
      <c r="P234" s="22"/>
      <c r="Q234" s="89">
        <v>121.7</v>
      </c>
      <c r="R234" s="89"/>
      <c r="S234" s="5"/>
      <c r="T234" s="5"/>
      <c r="U234" s="5"/>
    </row>
    <row r="235" spans="1:21" x14ac:dyDescent="0.25">
      <c r="A235" s="8" t="s">
        <v>12</v>
      </c>
      <c r="B235" s="11">
        <v>1996</v>
      </c>
      <c r="C235" s="11">
        <v>1996</v>
      </c>
      <c r="D235" s="11">
        <v>1996</v>
      </c>
      <c r="E235" s="11">
        <v>1996</v>
      </c>
      <c r="F235" s="11">
        <v>1996</v>
      </c>
      <c r="G235" s="11">
        <v>1996</v>
      </c>
      <c r="H235" s="11">
        <v>1996</v>
      </c>
      <c r="I235" s="11">
        <v>1996</v>
      </c>
      <c r="J235" s="47" t="s">
        <v>70</v>
      </c>
      <c r="K235" s="27"/>
      <c r="L235" s="27"/>
      <c r="M235" s="39" t="s">
        <v>60</v>
      </c>
      <c r="N235" s="39" t="s">
        <v>73</v>
      </c>
      <c r="O235" s="105" t="s">
        <v>57</v>
      </c>
      <c r="P235" s="105"/>
      <c r="Q235" s="10"/>
      <c r="R235" s="10"/>
      <c r="S235" s="5"/>
      <c r="T235" s="5"/>
      <c r="U235" s="5"/>
    </row>
    <row r="236" spans="1:21" x14ac:dyDescent="0.25">
      <c r="A236" s="8" t="s">
        <v>0</v>
      </c>
      <c r="B236" s="31">
        <v>104.6</v>
      </c>
      <c r="C236" s="5"/>
      <c r="D236" s="1">
        <v>9049</v>
      </c>
      <c r="E236" s="5"/>
      <c r="F236" s="5"/>
      <c r="G236" s="26">
        <f>(5.01*(B236^0.59)*Z$69)/(86.4*I$12)</f>
        <v>12.115774199130435</v>
      </c>
      <c r="H236" s="42">
        <f>L$30^(J236-(0.6458446*LN(P$34))-(9.53942*N236*(P$34/P$33))+(4.8904*N236))</f>
        <v>333.09806769304799</v>
      </c>
      <c r="I236" s="42">
        <f>L$30^(K$28-(0.6458446*LN(P$34))-(9.53942*N236*(P$34/P$33))+(4.8904*N236))</f>
        <v>3.0296192277078973</v>
      </c>
      <c r="J236" s="32">
        <v>4.7</v>
      </c>
      <c r="K236" s="56"/>
      <c r="L236" s="56"/>
      <c r="M236" s="22">
        <f>(B236-(0.74*P$237))</f>
        <v>45.193654699947317</v>
      </c>
      <c r="N236" s="10">
        <f>M236/Q236</f>
        <v>0.35726209248970209</v>
      </c>
      <c r="O236" s="50" t="s">
        <v>58</v>
      </c>
      <c r="P236" s="22">
        <f>(B236+B237+B238+B239+B240+B241+B242+B243+B244+B245+B246+B247)/12</f>
        <v>48.125000000000007</v>
      </c>
      <c r="Q236" s="89">
        <v>126.5</v>
      </c>
      <c r="R236" s="89"/>
      <c r="S236" s="5"/>
      <c r="T236" s="5"/>
      <c r="U236" s="5"/>
    </row>
    <row r="237" spans="1:21" x14ac:dyDescent="0.25">
      <c r="A237" s="8" t="s">
        <v>1</v>
      </c>
      <c r="B237" s="31">
        <v>143.80000000000001</v>
      </c>
      <c r="C237" s="5"/>
      <c r="D237" s="1">
        <v>13325</v>
      </c>
      <c r="E237" s="5"/>
      <c r="F237" s="5"/>
      <c r="G237" s="26">
        <f>(5.01*(B237^0.59)*Z$69)/(86.4*J$13)</f>
        <v>15.62675904493285</v>
      </c>
      <c r="H237" s="42">
        <f>L$30^(J237-(0.6458446*LN(P$34))-(9.53942*N237*(P$34/P$33))+(4.8904*N237))</f>
        <v>280.67039944166407</v>
      </c>
      <c r="I237" s="42">
        <f>L$30^(K$28-(0.6458446*LN(P$34))-(9.53942*N237*(P$34/P$33))+(4.8904*N237))</f>
        <v>2.5527750571657495</v>
      </c>
      <c r="J237" s="32">
        <v>4.7</v>
      </c>
      <c r="K237" s="56"/>
      <c r="L237" s="56"/>
      <c r="M237" s="22">
        <f t="shared" ref="M237:M247" si="76">(B237-(0.74*P$237))</f>
        <v>84.393654699947334</v>
      </c>
      <c r="N237" s="10">
        <f t="shared" ref="N237:N247" si="77">M237/Q237</f>
        <v>0.73641932547947064</v>
      </c>
      <c r="O237" s="50" t="s">
        <v>66</v>
      </c>
      <c r="P237" s="22">
        <f>((((B236-P236)^2+(B237-P236)^2+(B238-P236)^2+(B239-P236)^2+(B240-P236)^2+(B241-P236)^2+(B242-P236)^2+(B243-P236)^2+(B244-P236)^2+(B245-P236)^2+(B246-P236)^2+(B247-P236)^2))/(12-1))^0.5</f>
        <v>80.278845000071186</v>
      </c>
      <c r="Q237" s="89">
        <v>114.6</v>
      </c>
      <c r="R237" s="89"/>
      <c r="S237" s="5"/>
      <c r="T237" s="5"/>
      <c r="U237" s="5"/>
    </row>
    <row r="238" spans="1:21" x14ac:dyDescent="0.25">
      <c r="A238" s="8" t="s">
        <v>2</v>
      </c>
      <c r="B238" s="31">
        <v>251.6</v>
      </c>
      <c r="C238" s="5"/>
      <c r="D238" s="1">
        <v>18674</v>
      </c>
      <c r="E238" s="5"/>
      <c r="F238" s="5"/>
      <c r="G238" s="26">
        <f>(5.01*(B238^0.59)*Z$69)/(86.4*I$14)</f>
        <v>20.335120611960242</v>
      </c>
      <c r="H238" s="42">
        <f>L$30^(J238-(0.6458446*LN(P$34))-(9.53942*N238*(P$34/P$33))+(4.8904*N238))</f>
        <v>201.15773615352802</v>
      </c>
      <c r="I238" s="42">
        <f>L$30^(K$28-(0.6458446*LN(P$34))-(9.53942*N238*(P$34/P$33))+(4.8904*N238))</f>
        <v>1.8295853514662705</v>
      </c>
      <c r="J238" s="32">
        <v>4.7</v>
      </c>
      <c r="K238" s="56"/>
      <c r="L238" s="58"/>
      <c r="M238" s="22">
        <f t="shared" si="76"/>
        <v>192.19365469994733</v>
      </c>
      <c r="N238" s="10">
        <f t="shared" si="77"/>
        <v>1.4738777200916207</v>
      </c>
      <c r="O238" s="22"/>
      <c r="P238" s="22"/>
      <c r="Q238" s="89">
        <v>130.4</v>
      </c>
      <c r="R238" s="89"/>
      <c r="S238" s="5"/>
      <c r="T238" s="5"/>
      <c r="U238" s="5"/>
    </row>
    <row r="239" spans="1:21" x14ac:dyDescent="0.25">
      <c r="A239" s="8" t="s">
        <v>3</v>
      </c>
      <c r="B239" s="31">
        <v>60.7</v>
      </c>
      <c r="C239" s="5"/>
      <c r="D239" s="1">
        <v>10782</v>
      </c>
      <c r="E239" s="5"/>
      <c r="F239" s="5"/>
      <c r="G239" s="26">
        <f>(5.01*(B239^0.59)*Z$69)/(86.4*I$15)</f>
        <v>9.0813255316932331</v>
      </c>
      <c r="H239" s="42">
        <f>L$30^(J239-(0.6458446*LN(P$34))-(9.53942*N239*(P$34/P$33))+(4.8904*N239))</f>
        <v>389.64592252073169</v>
      </c>
      <c r="I239" s="42">
        <f>L$30^(K$28-(0.6458446*LN(P$34))-(9.53942*N239*(P$34/P$33))+(4.8904*N239))</f>
        <v>3.54393763687218</v>
      </c>
      <c r="J239" s="32">
        <v>4.7</v>
      </c>
      <c r="K239" s="56"/>
      <c r="L239" s="56"/>
      <c r="M239" s="22">
        <f t="shared" si="76"/>
        <v>1.2936546999473251</v>
      </c>
      <c r="N239" s="10">
        <f t="shared" si="77"/>
        <v>1.0106677343338477E-2</v>
      </c>
      <c r="O239" s="22"/>
      <c r="P239" s="22"/>
      <c r="Q239" s="89">
        <v>128</v>
      </c>
      <c r="R239" s="89"/>
      <c r="S239" s="5"/>
      <c r="T239" s="5"/>
      <c r="U239" s="5"/>
    </row>
    <row r="240" spans="1:21" x14ac:dyDescent="0.25">
      <c r="A240" s="8" t="s">
        <v>4</v>
      </c>
      <c r="B240" s="31">
        <v>5.0999999999999996</v>
      </c>
      <c r="C240" s="5"/>
      <c r="D240" s="1">
        <v>3041</v>
      </c>
      <c r="E240" s="5"/>
      <c r="F240" s="5"/>
      <c r="G240" s="26">
        <f>(5.01*(B240^0.59)*Z$69)/(86.4*I$16)</f>
        <v>2.0384209813364098</v>
      </c>
      <c r="H240" s="42">
        <f t="shared" ref="H240:H247" si="78">L$30^(J240-(0.6458446*LN(P$34))-(9.53942*N240*(P$34/P$33))+(4.8904*N240))</f>
        <v>477.35320251739455</v>
      </c>
      <c r="I240" s="42">
        <f t="shared" ref="I240:I247" si="79">L$30^(K$28-(0.6458446*LN(P$34))-(9.53942*N240*(P$34/P$33))+(4.8904*N240))</f>
        <v>4.3416596522779054</v>
      </c>
      <c r="J240" s="32">
        <v>4.7</v>
      </c>
      <c r="K240" s="56"/>
      <c r="L240" s="56"/>
      <c r="M240" s="22">
        <f t="shared" si="76"/>
        <v>-54.306345300052676</v>
      </c>
      <c r="N240" s="10">
        <f t="shared" si="77"/>
        <v>-0.43937172572858152</v>
      </c>
      <c r="O240" s="59"/>
      <c r="P240" s="59"/>
      <c r="Q240" s="89">
        <v>123.6</v>
      </c>
      <c r="R240" s="89"/>
      <c r="S240" s="5"/>
      <c r="T240" s="5"/>
      <c r="U240" s="5"/>
    </row>
    <row r="241" spans="1:21" x14ac:dyDescent="0.25">
      <c r="A241" s="8" t="s">
        <v>5</v>
      </c>
      <c r="B241" s="31">
        <v>3.2</v>
      </c>
      <c r="C241" s="5"/>
      <c r="D241" s="1">
        <v>1151</v>
      </c>
      <c r="E241" s="5"/>
      <c r="F241" s="5"/>
      <c r="G241" s="26">
        <f>(5.01*(B241^0.59)*Z$69)/(86.4*I$17)</f>
        <v>1.5999499724721722</v>
      </c>
      <c r="H241" s="42">
        <f t="shared" si="78"/>
        <v>221.7716462652034</v>
      </c>
      <c r="I241" s="42">
        <f t="shared" si="79"/>
        <v>4.4890820248907923</v>
      </c>
      <c r="J241" s="32">
        <v>3.9</v>
      </c>
      <c r="K241" s="56"/>
      <c r="L241" s="56"/>
      <c r="M241" s="22">
        <f t="shared" si="76"/>
        <v>-56.206345300052675</v>
      </c>
      <c r="N241" s="10">
        <f t="shared" si="77"/>
        <v>-0.51329995707810661</v>
      </c>
      <c r="O241" s="59"/>
      <c r="P241" s="59"/>
      <c r="Q241" s="89">
        <v>109.5</v>
      </c>
      <c r="R241" s="89"/>
      <c r="S241" s="5"/>
      <c r="T241" s="5"/>
      <c r="U241" s="5"/>
    </row>
    <row r="242" spans="1:21" x14ac:dyDescent="0.25">
      <c r="A242" s="8" t="s">
        <v>6</v>
      </c>
      <c r="B242" s="31">
        <v>1.5</v>
      </c>
      <c r="C242" s="5"/>
      <c r="D242" s="10">
        <v>0.747</v>
      </c>
      <c r="E242" s="5"/>
      <c r="F242" s="5"/>
      <c r="G242" s="26">
        <f>(5.01*(B242^0.59)*Z$69)/(86.4*I$18)</f>
        <v>0.99019634694337466</v>
      </c>
      <c r="H242" s="42">
        <f t="shared" si="78"/>
        <v>50.28549858874554</v>
      </c>
      <c r="I242" s="42">
        <f t="shared" si="79"/>
        <v>4.5617975121089342</v>
      </c>
      <c r="J242" s="32">
        <v>2.4</v>
      </c>
      <c r="K242" s="56"/>
      <c r="L242" s="56"/>
      <c r="M242" s="22">
        <f t="shared" si="76"/>
        <v>-57.906345300052678</v>
      </c>
      <c r="N242" s="10">
        <f t="shared" si="77"/>
        <v>-0.5488753109009733</v>
      </c>
      <c r="O242" s="59"/>
      <c r="P242" s="59"/>
      <c r="Q242" s="89">
        <v>105.5</v>
      </c>
      <c r="R242" s="89"/>
      <c r="S242" s="5"/>
      <c r="T242" s="5"/>
      <c r="U242" s="5"/>
    </row>
    <row r="243" spans="1:21" x14ac:dyDescent="0.25">
      <c r="A243" s="8" t="s">
        <v>7</v>
      </c>
      <c r="B243" s="31">
        <v>0.3</v>
      </c>
      <c r="C243" s="5"/>
      <c r="D243" s="10">
        <v>0.39900000000000002</v>
      </c>
      <c r="E243" s="5"/>
      <c r="F243" s="5"/>
      <c r="G243" s="26">
        <f>(5.01*(B243^0.59)*Z$69)/(86.4*I$19)</f>
        <v>0.3831148774666619</v>
      </c>
      <c r="H243" s="42">
        <f t="shared" si="78"/>
        <v>13.815148323366808</v>
      </c>
      <c r="I243" s="42">
        <f t="shared" si="79"/>
        <v>4.5986633938491117</v>
      </c>
      <c r="J243" s="32">
        <v>1.1000000000000001</v>
      </c>
      <c r="K243" s="56"/>
      <c r="L243" s="56"/>
      <c r="M243" s="22">
        <f t="shared" si="76"/>
        <v>-59.106345300052681</v>
      </c>
      <c r="N243" s="10">
        <f t="shared" si="77"/>
        <v>-0.56669554458343896</v>
      </c>
      <c r="O243" s="60"/>
      <c r="P243" s="59"/>
      <c r="Q243" s="89">
        <v>104.3</v>
      </c>
      <c r="R243" s="89"/>
      <c r="S243" s="5"/>
      <c r="T243" s="5"/>
      <c r="U243" s="5"/>
    </row>
    <row r="244" spans="1:21" x14ac:dyDescent="0.25">
      <c r="A244" s="8" t="s">
        <v>8</v>
      </c>
      <c r="B244" s="31">
        <v>0</v>
      </c>
      <c r="C244" s="5"/>
      <c r="D244" s="10">
        <v>0.27800000000000002</v>
      </c>
      <c r="E244" s="5"/>
      <c r="F244" s="5"/>
      <c r="G244" s="26">
        <f>(5.01*(B244^0.59)*Z$69)/(86.4*I$20)</f>
        <v>0</v>
      </c>
      <c r="H244" s="42">
        <f t="shared" si="78"/>
        <v>13.931629029456699</v>
      </c>
      <c r="I244" s="42">
        <f t="shared" si="79"/>
        <v>4.6374364527151739</v>
      </c>
      <c r="J244" s="32">
        <v>1.1000000000000001</v>
      </c>
      <c r="K244" s="56"/>
      <c r="L244" s="56"/>
      <c r="M244" s="22">
        <f t="shared" si="76"/>
        <v>-59.406345300052678</v>
      </c>
      <c r="N244" s="10">
        <f t="shared" si="77"/>
        <v>-0.58528419014830224</v>
      </c>
      <c r="O244" s="59"/>
      <c r="P244" s="59"/>
      <c r="Q244" s="89">
        <v>101.5</v>
      </c>
      <c r="R244" s="89"/>
      <c r="S244" s="5"/>
      <c r="T244" s="5"/>
      <c r="U244" s="5"/>
    </row>
    <row r="245" spans="1:21" ht="18.75" x14ac:dyDescent="0.3">
      <c r="A245" s="8" t="s">
        <v>9</v>
      </c>
      <c r="B245" s="31">
        <v>0.2</v>
      </c>
      <c r="C245" s="5"/>
      <c r="D245" s="10">
        <v>0.16400000000000001</v>
      </c>
      <c r="E245" s="5"/>
      <c r="F245" s="5"/>
      <c r="G245" s="26">
        <f>(5.01*(B245^0.59)*Z$69)/(86.4*I$21)</f>
        <v>0.30160266478526815</v>
      </c>
      <c r="H245" s="42">
        <f t="shared" si="78"/>
        <v>50.21299040616487</v>
      </c>
      <c r="I245" s="42">
        <f t="shared" si="79"/>
        <v>4.5552197181884768</v>
      </c>
      <c r="J245" s="32">
        <v>2.4</v>
      </c>
      <c r="K245" s="56"/>
      <c r="L245" s="56"/>
      <c r="M245" s="22">
        <f t="shared" si="76"/>
        <v>-59.206345300052675</v>
      </c>
      <c r="N245" s="10">
        <f t="shared" si="77"/>
        <v>-0.5456806018438034</v>
      </c>
      <c r="O245" s="61"/>
      <c r="P245" s="62"/>
      <c r="Q245" s="89">
        <v>108.5</v>
      </c>
      <c r="R245" s="89"/>
      <c r="S245" s="5"/>
      <c r="T245" s="5"/>
      <c r="U245" s="5"/>
    </row>
    <row r="246" spans="1:21" x14ac:dyDescent="0.25">
      <c r="A246" s="8" t="s">
        <v>10</v>
      </c>
      <c r="B246" s="31">
        <v>0.3</v>
      </c>
      <c r="C246" s="5"/>
      <c r="D246" s="10">
        <v>0.23499999999999999</v>
      </c>
      <c r="E246" s="5"/>
      <c r="F246" s="5"/>
      <c r="G246" s="26">
        <f>(5.01*(B246^0.59)*Z$69)/(86.4*I$22)</f>
        <v>0.3958853733822173</v>
      </c>
      <c r="H246" s="42">
        <f t="shared" si="78"/>
        <v>223.22233327590121</v>
      </c>
      <c r="I246" s="42">
        <f t="shared" si="79"/>
        <v>4.5184467028969157</v>
      </c>
      <c r="J246" s="32">
        <v>3.9</v>
      </c>
      <c r="K246" s="56"/>
      <c r="L246" s="56"/>
      <c r="M246" s="22">
        <f t="shared" si="76"/>
        <v>-59.106345300052681</v>
      </c>
      <c r="N246" s="10">
        <f t="shared" si="77"/>
        <v>-0.52773522589332755</v>
      </c>
      <c r="O246" s="10"/>
      <c r="P246" s="22"/>
      <c r="Q246" s="89">
        <v>112</v>
      </c>
      <c r="R246" s="89"/>
      <c r="S246" s="5"/>
      <c r="T246" s="5"/>
      <c r="U246" s="5"/>
    </row>
    <row r="247" spans="1:21" x14ac:dyDescent="0.25">
      <c r="A247" s="8" t="s">
        <v>11</v>
      </c>
      <c r="B247" s="31">
        <v>6.2</v>
      </c>
      <c r="C247" s="5"/>
      <c r="D247" s="1">
        <v>1167</v>
      </c>
      <c r="E247" s="5"/>
      <c r="F247" s="5"/>
      <c r="G247" s="26">
        <f>(5.01*(B247^0.59)*Z$69)/(86.4*I$23)</f>
        <v>2.2873813392125806</v>
      </c>
      <c r="H247" s="42">
        <f t="shared" si="78"/>
        <v>214.27761660528273</v>
      </c>
      <c r="I247" s="42">
        <f t="shared" si="79"/>
        <v>4.3373885401424364</v>
      </c>
      <c r="J247" s="32">
        <v>3.9</v>
      </c>
      <c r="K247" s="56"/>
      <c r="L247" s="56"/>
      <c r="M247" s="22">
        <f t="shared" si="76"/>
        <v>-53.206345300052675</v>
      </c>
      <c r="N247" s="10">
        <f t="shared" si="77"/>
        <v>-0.43719264831596283</v>
      </c>
      <c r="O247" s="22"/>
      <c r="P247" s="22"/>
      <c r="Q247" s="89">
        <v>121.7</v>
      </c>
      <c r="R247" s="89"/>
      <c r="S247" s="5"/>
      <c r="T247" s="5"/>
      <c r="U247" s="5"/>
    </row>
    <row r="248" spans="1:21" x14ac:dyDescent="0.25">
      <c r="A248" s="8" t="s">
        <v>12</v>
      </c>
      <c r="B248" s="11">
        <v>1997</v>
      </c>
      <c r="C248" s="11">
        <v>1997</v>
      </c>
      <c r="D248" s="11">
        <v>1997</v>
      </c>
      <c r="E248" s="11">
        <v>1997</v>
      </c>
      <c r="F248" s="11">
        <v>1997</v>
      </c>
      <c r="G248" s="11">
        <v>1997</v>
      </c>
      <c r="H248" s="11">
        <v>1997</v>
      </c>
      <c r="I248" s="11">
        <v>1997</v>
      </c>
      <c r="J248" s="47" t="s">
        <v>70</v>
      </c>
      <c r="K248" s="27"/>
      <c r="L248" s="27"/>
      <c r="M248" s="39" t="s">
        <v>60</v>
      </c>
      <c r="N248" s="39" t="s">
        <v>73</v>
      </c>
      <c r="O248" s="105" t="s">
        <v>57</v>
      </c>
      <c r="P248" s="105"/>
      <c r="Q248" s="10"/>
      <c r="R248" s="10"/>
      <c r="S248" s="5"/>
      <c r="T248" s="5"/>
      <c r="U248" s="5"/>
    </row>
    <row r="249" spans="1:21" x14ac:dyDescent="0.25">
      <c r="A249" s="8" t="s">
        <v>0</v>
      </c>
      <c r="B249" s="31">
        <v>131.80000000000001</v>
      </c>
      <c r="C249" s="5"/>
      <c r="D249" s="1">
        <v>10693</v>
      </c>
      <c r="E249" s="5"/>
      <c r="F249" s="5"/>
      <c r="G249" s="26">
        <f>(5.01*(B249^0.59)*Z$69)/(86.4*I$12)</f>
        <v>13.886013047749262</v>
      </c>
      <c r="H249" s="42">
        <f>L$30^(J249-(0.6458446*LN(P$34))-(9.53942*N249*(P$34/P$33))+(4.8904*N249))</f>
        <v>318.09883265422599</v>
      </c>
      <c r="I249" s="42">
        <f>L$30^(K$28-(0.6458446*LN(P$34))-(9.53942*N249*(P$34/P$33))+(4.8904*N249))</f>
        <v>2.893197028716338</v>
      </c>
      <c r="J249" s="32">
        <v>4.7</v>
      </c>
      <c r="K249" s="56"/>
      <c r="L249" s="56"/>
      <c r="M249" s="22">
        <f>(B249-(0.74*P$250))</f>
        <v>58.097759513517701</v>
      </c>
      <c r="N249" s="10">
        <f>M249/Q249</f>
        <v>0.45927082619381582</v>
      </c>
      <c r="O249" s="50" t="s">
        <v>58</v>
      </c>
      <c r="P249" s="22">
        <f>(B249+B250+B251+B252+B253+B254+B255+B256+B257+B258+B259+B260)/12</f>
        <v>173.35000000000002</v>
      </c>
      <c r="Q249" s="89">
        <v>126.5</v>
      </c>
      <c r="R249" s="89"/>
      <c r="S249" s="5"/>
      <c r="T249" s="5"/>
      <c r="U249" s="5"/>
    </row>
    <row r="250" spans="1:21" x14ac:dyDescent="0.25">
      <c r="A250" s="8" t="s">
        <v>1</v>
      </c>
      <c r="B250" s="31">
        <v>186.9</v>
      </c>
      <c r="C250" s="5"/>
      <c r="D250" s="1">
        <v>15883</v>
      </c>
      <c r="E250" s="5"/>
      <c r="F250" s="5"/>
      <c r="G250" s="26">
        <f>(5.01*(B250^0.59)*Z$69)/(86.4*J$13)</f>
        <v>18.240664720182888</v>
      </c>
      <c r="H250" s="42">
        <f>L$30^(J250-(0.6458446*LN(P$34))-(9.53942*N250*(P$34/P$33))+(4.8904*N250))</f>
        <v>250.549084859385</v>
      </c>
      <c r="I250" s="42">
        <f>L$30^(K$28-(0.6458446*LN(P$34))-(9.53942*N250*(P$34/P$33))+(4.8904*N250))</f>
        <v>2.2788133543725522</v>
      </c>
      <c r="J250" s="32">
        <v>4.7</v>
      </c>
      <c r="K250" s="56"/>
      <c r="L250" s="56"/>
      <c r="M250" s="22">
        <f t="shared" ref="M250:M260" si="80">(B250-(0.74*P$250))</f>
        <v>113.1977595135177</v>
      </c>
      <c r="N250" s="10">
        <f t="shared" ref="N250:N260" si="81">M250/Q250</f>
        <v>0.98776404462057332</v>
      </c>
      <c r="O250" s="50" t="s">
        <v>66</v>
      </c>
      <c r="P250" s="22">
        <f>((((B249-P249)^2+(B250-P249)^2+(B251-P249)^2+(B252-P249)^2+(B253-P249)^2+(B254-P249)^2+(B255-P249)^2+(B256-P249)^2+(B257-P249)^2+(B258-P249)^2+(B259-P249)^2+(B260-P249)^2))/(12-1))^0.5</f>
        <v>99.597622279030148</v>
      </c>
      <c r="Q250" s="89">
        <v>114.6</v>
      </c>
      <c r="R250" s="89"/>
      <c r="S250" s="5"/>
      <c r="T250" s="5"/>
      <c r="U250" s="5"/>
    </row>
    <row r="251" spans="1:21" x14ac:dyDescent="0.25">
      <c r="A251" s="8" t="s">
        <v>2</v>
      </c>
      <c r="B251" s="31">
        <v>322.8</v>
      </c>
      <c r="C251" s="5"/>
      <c r="D251" s="1">
        <v>22497</v>
      </c>
      <c r="E251" s="5"/>
      <c r="F251" s="5"/>
      <c r="G251" s="26">
        <f>(5.01*(B251^0.59)*Z$69)/(86.4*I$14)</f>
        <v>23.55582164253132</v>
      </c>
      <c r="H251" s="42">
        <f>L$30^(J251-(0.6458446*LN(P$34))-(9.53942*N251*(P$34/P$33))+(4.8904*N251))</f>
        <v>165.17190898997501</v>
      </c>
      <c r="I251" s="42">
        <f>L$30^(K$28-(0.6458446*LN(P$34))-(9.53942*N251*(P$34/P$33))+(4.8904*N251))</f>
        <v>1.5022842816800008</v>
      </c>
      <c r="J251" s="32">
        <v>4.7</v>
      </c>
      <c r="K251" s="56"/>
      <c r="L251" s="58"/>
      <c r="M251" s="22">
        <f t="shared" si="80"/>
        <v>249.0977595135177</v>
      </c>
      <c r="N251" s="10">
        <f t="shared" si="81"/>
        <v>1.9102588919748289</v>
      </c>
      <c r="O251" s="22"/>
      <c r="P251" s="22"/>
      <c r="Q251" s="89">
        <v>130.4</v>
      </c>
      <c r="R251" s="89"/>
      <c r="S251" s="5"/>
      <c r="T251" s="5"/>
      <c r="U251" s="5"/>
    </row>
    <row r="252" spans="1:21" x14ac:dyDescent="0.25">
      <c r="A252" s="8" t="s">
        <v>3</v>
      </c>
      <c r="B252" s="31">
        <v>232.7</v>
      </c>
      <c r="C252" s="5"/>
      <c r="D252" s="10">
        <v>20.53</v>
      </c>
      <c r="E252" s="5"/>
      <c r="F252" s="5"/>
      <c r="G252" s="26">
        <f>(5.01*(B252^0.59)*Z$69)/(86.4*I$15)</f>
        <v>20.066784289822085</v>
      </c>
      <c r="H252" s="42">
        <f>L$30^(J252-(0.6458446*LN(P$34))-(9.53942*N252*(P$34/P$33))+(4.8904*N252))</f>
        <v>223.35132715265766</v>
      </c>
      <c r="I252" s="42">
        <f>L$30^(K$28-(0.6458446*LN(P$34))-(9.53942*N252*(P$34/P$33))+(4.8904*N252))</f>
        <v>2.0314422114850679</v>
      </c>
      <c r="J252" s="32">
        <v>4.7</v>
      </c>
      <c r="K252" s="56"/>
      <c r="L252" s="56"/>
      <c r="M252" s="22">
        <f t="shared" si="80"/>
        <v>158.99775951351768</v>
      </c>
      <c r="N252" s="10">
        <f t="shared" si="81"/>
        <v>1.2421699961993569</v>
      </c>
      <c r="O252" s="22"/>
      <c r="P252" s="22"/>
      <c r="Q252" s="89">
        <v>128</v>
      </c>
      <c r="R252" s="89"/>
      <c r="S252" s="5"/>
      <c r="T252" s="5"/>
      <c r="U252" s="5"/>
    </row>
    <row r="253" spans="1:21" x14ac:dyDescent="0.25">
      <c r="A253" s="8" t="s">
        <v>4</v>
      </c>
      <c r="B253" s="31">
        <v>82.4</v>
      </c>
      <c r="C253" s="5"/>
      <c r="D253" s="1">
        <v>12174</v>
      </c>
      <c r="E253" s="5"/>
      <c r="F253" s="5"/>
      <c r="G253" s="26">
        <f>(5.01*(B253^0.59)*Z$69)/(86.4*I$16)</f>
        <v>10.525058826024217</v>
      </c>
      <c r="H253" s="42">
        <f t="shared" ref="H253:H260" si="82">L$30^(J253-(0.6458446*LN(P$34))-(9.53942*N253*(P$34/P$33))+(4.8904*N253))</f>
        <v>379.18298057036225</v>
      </c>
      <c r="I253" s="42">
        <f t="shared" ref="I253:I260" si="83">L$30^(K$28-(0.6458446*LN(P$34))-(9.53942*N253*(P$34/P$33))+(4.8904*N253))</f>
        <v>3.4487742805346078</v>
      </c>
      <c r="J253" s="32">
        <v>4.7</v>
      </c>
      <c r="K253" s="56"/>
      <c r="L253" s="56"/>
      <c r="M253" s="22">
        <f t="shared" si="80"/>
        <v>8.6977595135176955</v>
      </c>
      <c r="N253" s="10">
        <f t="shared" si="81"/>
        <v>7.0370222601275859E-2</v>
      </c>
      <c r="O253" s="59"/>
      <c r="P253" s="59"/>
      <c r="Q253" s="89">
        <v>123.6</v>
      </c>
      <c r="R253" s="89"/>
      <c r="S253" s="5"/>
      <c r="T253" s="5"/>
      <c r="U253" s="5"/>
    </row>
    <row r="254" spans="1:21" x14ac:dyDescent="0.25">
      <c r="A254" s="8" t="s">
        <v>5</v>
      </c>
      <c r="B254" s="31">
        <v>74.099999999999994</v>
      </c>
      <c r="C254" s="5"/>
      <c r="D254" s="1">
        <v>9164</v>
      </c>
      <c r="E254" s="5"/>
      <c r="F254" s="5"/>
      <c r="G254" s="26">
        <f>(5.01*(B254^0.59)*Z$69)/(86.4*I$17)</f>
        <v>10.215524242709037</v>
      </c>
      <c r="H254" s="42">
        <f t="shared" si="82"/>
        <v>175.5919185058209</v>
      </c>
      <c r="I254" s="42">
        <f t="shared" si="83"/>
        <v>3.5543160649939574</v>
      </c>
      <c r="J254" s="32">
        <v>3.9</v>
      </c>
      <c r="K254" s="56"/>
      <c r="L254" s="56"/>
      <c r="M254" s="22">
        <f t="shared" si="80"/>
        <v>0.39775951351768413</v>
      </c>
      <c r="N254" s="10">
        <f t="shared" si="81"/>
        <v>3.6325069727642387E-3</v>
      </c>
      <c r="O254" s="59"/>
      <c r="P254" s="59"/>
      <c r="Q254" s="89">
        <v>109.5</v>
      </c>
      <c r="R254" s="89"/>
      <c r="S254" s="5"/>
      <c r="T254" s="5"/>
      <c r="U254" s="5"/>
    </row>
    <row r="255" spans="1:21" x14ac:dyDescent="0.25">
      <c r="A255" s="8" t="s">
        <v>6</v>
      </c>
      <c r="B255" s="31">
        <v>58.5</v>
      </c>
      <c r="C255" s="5"/>
      <c r="D255" s="1">
        <v>7859</v>
      </c>
      <c r="E255" s="5"/>
      <c r="F255" s="5"/>
      <c r="G255" s="26">
        <f>(5.01*(B255^0.59)*Z$69)/(86.4*I$18)</f>
        <v>8.5990294818529183</v>
      </c>
      <c r="H255" s="42">
        <f t="shared" si="82"/>
        <v>41.883352899680546</v>
      </c>
      <c r="I255" s="42">
        <f t="shared" si="83"/>
        <v>3.7995720519574445</v>
      </c>
      <c r="J255" s="32">
        <v>2.4</v>
      </c>
      <c r="K255" s="56"/>
      <c r="L255" s="56"/>
      <c r="M255" s="22">
        <f t="shared" si="80"/>
        <v>-15.20224048648231</v>
      </c>
      <c r="N255" s="10">
        <f t="shared" si="81"/>
        <v>-0.14409706622258114</v>
      </c>
      <c r="O255" s="59"/>
      <c r="P255" s="59"/>
      <c r="Q255" s="89">
        <v>105.5</v>
      </c>
      <c r="R255" s="89"/>
      <c r="S255" s="5"/>
      <c r="T255" s="5"/>
      <c r="U255" s="5"/>
    </row>
    <row r="256" spans="1:21" x14ac:dyDescent="0.25">
      <c r="A256" s="8" t="s">
        <v>7</v>
      </c>
      <c r="B256" s="31">
        <v>118.9</v>
      </c>
      <c r="C256" s="5"/>
      <c r="D256" s="1">
        <v>11306</v>
      </c>
      <c r="E256" s="5"/>
      <c r="F256" s="5"/>
      <c r="G256" s="26">
        <f>(5.01*(B256^0.59)*Z$69)/(86.4*I$19)</f>
        <v>13.067267185219041</v>
      </c>
      <c r="H256" s="42">
        <f t="shared" si="82"/>
        <v>8.794026803314134</v>
      </c>
      <c r="I256" s="42">
        <f t="shared" si="83"/>
        <v>2.9272772320893239</v>
      </c>
      <c r="J256" s="32">
        <v>1.1000000000000001</v>
      </c>
      <c r="K256" s="56"/>
      <c r="L256" s="56"/>
      <c r="M256" s="22">
        <f t="shared" si="80"/>
        <v>45.197759513517695</v>
      </c>
      <c r="N256" s="10">
        <f t="shared" si="81"/>
        <v>0.43334381125136812</v>
      </c>
      <c r="O256" s="60"/>
      <c r="P256" s="59"/>
      <c r="Q256" s="89">
        <v>104.3</v>
      </c>
      <c r="R256" s="89"/>
      <c r="S256" s="5"/>
      <c r="T256" s="5"/>
      <c r="U256" s="5"/>
    </row>
    <row r="257" spans="1:21" x14ac:dyDescent="0.25">
      <c r="A257" s="8" t="s">
        <v>8</v>
      </c>
      <c r="B257" s="31">
        <v>93.8</v>
      </c>
      <c r="C257" s="5"/>
      <c r="D257" s="1">
        <v>10946</v>
      </c>
      <c r="E257" s="5"/>
      <c r="F257" s="5"/>
      <c r="G257" s="26">
        <f>(5.01*(B257^0.59)*Z$69)/(86.4*I$20)</f>
        <v>11.739986316027126</v>
      </c>
      <c r="H257" s="42">
        <f t="shared" si="82"/>
        <v>9.7802818421019175</v>
      </c>
      <c r="I257" s="42">
        <f t="shared" si="83"/>
        <v>3.2555730156533249</v>
      </c>
      <c r="J257" s="32">
        <v>1.1000000000000001</v>
      </c>
      <c r="K257" s="56"/>
      <c r="L257" s="56"/>
      <c r="M257" s="22">
        <f t="shared" si="80"/>
        <v>20.097759513517687</v>
      </c>
      <c r="N257" s="10">
        <f t="shared" si="81"/>
        <v>0.19800748289179987</v>
      </c>
      <c r="O257" s="59"/>
      <c r="P257" s="59"/>
      <c r="Q257" s="89">
        <v>101.5</v>
      </c>
      <c r="R257" s="89"/>
      <c r="S257" s="5"/>
      <c r="T257" s="5"/>
      <c r="U257" s="5"/>
    </row>
    <row r="258" spans="1:21" ht="18.75" x14ac:dyDescent="0.3">
      <c r="A258" s="8" t="s">
        <v>9</v>
      </c>
      <c r="B258" s="31">
        <v>157.4</v>
      </c>
      <c r="C258" s="5"/>
      <c r="D258" s="1">
        <v>13967</v>
      </c>
      <c r="E258" s="5"/>
      <c r="F258" s="5"/>
      <c r="G258" s="26">
        <f>(5.01*(B258^0.59)*Z$69)/(86.4*I$21)</f>
        <v>15.41914407557173</v>
      </c>
      <c r="H258" s="42">
        <f t="shared" si="82"/>
        <v>27.698480162986694</v>
      </c>
      <c r="I258" s="42">
        <f t="shared" si="83"/>
        <v>2.512749429613709</v>
      </c>
      <c r="J258" s="32">
        <v>2.4</v>
      </c>
      <c r="K258" s="56"/>
      <c r="L258" s="56"/>
      <c r="M258" s="22">
        <f t="shared" si="80"/>
        <v>83.697759513517695</v>
      </c>
      <c r="N258" s="10">
        <f t="shared" si="81"/>
        <v>0.7714079217835732</v>
      </c>
      <c r="O258" s="61"/>
      <c r="P258" s="62"/>
      <c r="Q258" s="89">
        <v>108.5</v>
      </c>
      <c r="R258" s="89"/>
      <c r="S258" s="5"/>
      <c r="T258" s="5"/>
      <c r="U258" s="5"/>
    </row>
    <row r="259" spans="1:21" x14ac:dyDescent="0.25">
      <c r="A259" s="8" t="s">
        <v>10</v>
      </c>
      <c r="B259" s="31">
        <v>272.39999999999998</v>
      </c>
      <c r="C259" s="5"/>
      <c r="D259" s="1">
        <v>20405</v>
      </c>
      <c r="E259" s="5"/>
      <c r="F259" s="5"/>
      <c r="G259" s="26">
        <f>(5.01*(B259^0.59)*Z$69)/(86.4*I$22)</f>
        <v>22.021155668432066</v>
      </c>
      <c r="H259" s="42">
        <f t="shared" si="82"/>
        <v>78.924540162930697</v>
      </c>
      <c r="I259" s="42">
        <f t="shared" si="83"/>
        <v>1.5975835528789781</v>
      </c>
      <c r="J259" s="32">
        <v>3.9</v>
      </c>
      <c r="K259" s="56"/>
      <c r="L259" s="56"/>
      <c r="M259" s="22">
        <f t="shared" si="80"/>
        <v>198.69775951351767</v>
      </c>
      <c r="N259" s="10">
        <f t="shared" si="81"/>
        <v>1.7740871385135506</v>
      </c>
      <c r="O259" s="10"/>
      <c r="P259" s="22"/>
      <c r="Q259" s="89">
        <v>112</v>
      </c>
      <c r="R259" s="89"/>
      <c r="S259" s="5"/>
      <c r="T259" s="5"/>
      <c r="U259" s="5"/>
    </row>
    <row r="260" spans="1:21" x14ac:dyDescent="0.25">
      <c r="A260" s="8" t="s">
        <v>11</v>
      </c>
      <c r="B260" s="31">
        <v>348.5</v>
      </c>
      <c r="C260" s="5"/>
      <c r="D260" s="10">
        <v>24.74</v>
      </c>
      <c r="E260" s="5"/>
      <c r="F260" s="5"/>
      <c r="G260" s="26">
        <f>(5.01*(B260^0.59)*Z$69)/(86.4*I$23)</f>
        <v>24.644903308111807</v>
      </c>
      <c r="H260" s="42">
        <f t="shared" si="82"/>
        <v>63.429172459537227</v>
      </c>
      <c r="I260" s="42">
        <f t="shared" si="83"/>
        <v>1.28392769200669</v>
      </c>
      <c r="J260" s="32">
        <v>3.9</v>
      </c>
      <c r="K260" s="56"/>
      <c r="L260" s="56"/>
      <c r="M260" s="22">
        <f t="shared" si="80"/>
        <v>274.79775951351769</v>
      </c>
      <c r="N260" s="10">
        <f t="shared" si="81"/>
        <v>2.25799309378404</v>
      </c>
      <c r="O260" s="22"/>
      <c r="P260" s="22"/>
      <c r="Q260" s="89">
        <v>121.7</v>
      </c>
      <c r="R260" s="89"/>
      <c r="S260" s="5"/>
      <c r="T260" s="5"/>
      <c r="U260" s="5"/>
    </row>
    <row r="261" spans="1:21" x14ac:dyDescent="0.25">
      <c r="A261" s="8" t="s">
        <v>12</v>
      </c>
      <c r="B261" s="11">
        <v>1998</v>
      </c>
      <c r="C261" s="11">
        <v>1998</v>
      </c>
      <c r="D261" s="11">
        <v>1998</v>
      </c>
      <c r="E261" s="11">
        <v>1998</v>
      </c>
      <c r="F261" s="11">
        <v>1998</v>
      </c>
      <c r="G261" s="11">
        <v>1998</v>
      </c>
      <c r="H261" s="11">
        <v>1998</v>
      </c>
      <c r="I261" s="11">
        <v>1998</v>
      </c>
      <c r="J261" s="47" t="s">
        <v>70</v>
      </c>
      <c r="K261" s="27"/>
      <c r="L261" s="27"/>
      <c r="M261" s="39" t="s">
        <v>60</v>
      </c>
      <c r="N261" s="39" t="s">
        <v>73</v>
      </c>
      <c r="O261" s="105" t="s">
        <v>57</v>
      </c>
      <c r="P261" s="105"/>
      <c r="Q261" s="10"/>
      <c r="R261" s="10"/>
      <c r="S261" s="5"/>
      <c r="T261" s="5"/>
      <c r="U261" s="5"/>
    </row>
    <row r="262" spans="1:21" x14ac:dyDescent="0.25">
      <c r="A262" s="8" t="s">
        <v>0</v>
      </c>
      <c r="B262" s="31">
        <v>286.3</v>
      </c>
      <c r="C262" s="5"/>
      <c r="D262" s="10">
        <v>23.19</v>
      </c>
      <c r="E262" s="5"/>
      <c r="F262" s="5"/>
      <c r="G262" s="26">
        <f>(5.01*(B262^0.59)*Z$69)/(86.4*I$12)</f>
        <v>21.945833112638891</v>
      </c>
      <c r="H262" s="42">
        <f>L$30^(J262-(0.6458446*LN(P$34))-(9.53942*N262*(P$34/P$33))+(4.8904*N262))</f>
        <v>241.69987800187445</v>
      </c>
      <c r="I262" s="42">
        <f>L$30^(K$28-(0.6458446*LN(P$34))-(9.53942*N262*(P$34/P$33))+(4.8904*N262))</f>
        <v>2.1983273658732632</v>
      </c>
      <c r="J262" s="32">
        <v>4.7</v>
      </c>
      <c r="K262" s="56"/>
      <c r="L262" s="56"/>
      <c r="M262" s="22">
        <f>(B262-(0.74*P$263))</f>
        <v>135.0228735659237</v>
      </c>
      <c r="N262" s="10">
        <f>M262/Q262</f>
        <v>1.0673744945922823</v>
      </c>
      <c r="O262" s="50" t="s">
        <v>58</v>
      </c>
      <c r="P262" s="22">
        <f>(B262+B263+B264+B265+B266+B267+B268+B269+B270+B271+B272+B273)/12</f>
        <v>186.05833333333337</v>
      </c>
      <c r="Q262" s="89">
        <v>126.5</v>
      </c>
      <c r="R262" s="89"/>
      <c r="S262" s="5"/>
      <c r="T262" s="5"/>
      <c r="U262" s="5"/>
    </row>
    <row r="263" spans="1:21" x14ac:dyDescent="0.25">
      <c r="A263" s="8" t="s">
        <v>1</v>
      </c>
      <c r="B263" s="31">
        <v>385</v>
      </c>
      <c r="C263" s="5"/>
      <c r="D263" s="1">
        <v>26441</v>
      </c>
      <c r="E263" s="5"/>
      <c r="F263" s="5"/>
      <c r="G263" s="26">
        <f>(5.01*(B263^0.59)*Z$69)/(86.4*J$13)</f>
        <v>27.939138031978803</v>
      </c>
      <c r="H263" s="42">
        <f>L$30^(J263-(0.6458446*LN(P$34))-(9.53942*N263*(P$34/P$33))+(4.8904*N263))</f>
        <v>155.80837426332948</v>
      </c>
      <c r="I263" s="42">
        <f>L$30^(K$28-(0.6458446*LN(P$34))-(9.53942*N263*(P$34/P$33))+(4.8904*N263))</f>
        <v>1.417120338689803</v>
      </c>
      <c r="J263" s="32">
        <v>4.7</v>
      </c>
      <c r="K263" s="56"/>
      <c r="L263" s="56"/>
      <c r="M263" s="22">
        <f t="shared" ref="M263:M273" si="84">(B263-(0.74*P$263))</f>
        <v>233.72287356592369</v>
      </c>
      <c r="N263" s="10">
        <f t="shared" ref="N263:N273" si="85">M263/Q263</f>
        <v>2.0394666105228945</v>
      </c>
      <c r="O263" s="50" t="s">
        <v>66</v>
      </c>
      <c r="P263" s="22">
        <f>((((B262-P262)^2+(B263-P262)^2+(B264-P262)^2+(B265-P262)^2+(B266-P262)^2+(B267-P262)^2+(B268-P262)^2+(B269-P262)^2+(B270-P262)^2+(B271-P262)^2+(B272-P262)^2+(B273-P262)^2))/(12-1))^0.5</f>
        <v>204.42854923523825</v>
      </c>
      <c r="Q263" s="89">
        <v>114.6</v>
      </c>
      <c r="R263" s="89"/>
      <c r="S263" s="5"/>
      <c r="T263" s="5"/>
      <c r="U263" s="5"/>
    </row>
    <row r="264" spans="1:21" x14ac:dyDescent="0.25">
      <c r="A264" s="8" t="s">
        <v>2</v>
      </c>
      <c r="B264" s="31">
        <v>575</v>
      </c>
      <c r="C264" s="5"/>
      <c r="D264" s="1">
        <v>34047</v>
      </c>
      <c r="E264" s="5"/>
      <c r="F264" s="5"/>
      <c r="G264" s="26">
        <f>(5.01*(B264^0.59)*Z$69)/(86.4*I$14)</f>
        <v>33.11551438184528</v>
      </c>
      <c r="H264" s="42">
        <f>L$30^(J264-(0.6458446*LN(P$34))-(9.53942*N264*(P$34/P$33))+(4.8904*N264))</f>
        <v>90.20872205789739</v>
      </c>
      <c r="I264" s="42">
        <f>L$30^(K$28-(0.6458446*LN(P$34))-(9.53942*N264*(P$34/P$33))+(4.8904*N264))</f>
        <v>0.82047332410648954</v>
      </c>
      <c r="J264" s="32">
        <v>4.7</v>
      </c>
      <c r="K264" s="56"/>
      <c r="L264" s="58"/>
      <c r="M264" s="22">
        <f t="shared" si="84"/>
        <v>423.72287356592369</v>
      </c>
      <c r="N264" s="10">
        <f t="shared" si="85"/>
        <v>3.2494085396159793</v>
      </c>
      <c r="O264" s="22"/>
      <c r="P264" s="22"/>
      <c r="Q264" s="89">
        <v>130.4</v>
      </c>
      <c r="R264" s="89"/>
      <c r="S264" s="5"/>
      <c r="T264" s="5"/>
      <c r="U264" s="5"/>
    </row>
    <row r="265" spans="1:21" x14ac:dyDescent="0.25">
      <c r="A265" s="8" t="s">
        <v>3</v>
      </c>
      <c r="B265" s="31">
        <v>465</v>
      </c>
      <c r="C265" s="5"/>
      <c r="D265" s="10">
        <v>32.39</v>
      </c>
      <c r="E265" s="5"/>
      <c r="F265" s="5"/>
      <c r="G265" s="26">
        <f>(5.01*(B265^0.59)*Z$69)/(86.4*I$15)</f>
        <v>30.190142175443853</v>
      </c>
      <c r="H265" s="42">
        <f>L$30^(J265-(0.6458446*LN(P$34))-(9.53942*N265*(P$34/P$33))+(4.8904*N265))</f>
        <v>129.38151830586767</v>
      </c>
      <c r="I265" s="42">
        <f>L$30^(K$28-(0.6458446*LN(P$34))-(9.53942*N265*(P$34/P$33))+(4.8904*N265))</f>
        <v>1.1767607608300714</v>
      </c>
      <c r="J265" s="32">
        <v>4.7</v>
      </c>
      <c r="K265" s="56"/>
      <c r="L265" s="56"/>
      <c r="M265" s="22">
        <f t="shared" si="84"/>
        <v>313.72287356592369</v>
      </c>
      <c r="N265" s="10">
        <f t="shared" si="85"/>
        <v>2.4509599497337788</v>
      </c>
      <c r="O265" s="22"/>
      <c r="P265" s="22"/>
      <c r="Q265" s="89">
        <v>128</v>
      </c>
      <c r="R265" s="89"/>
      <c r="S265" s="5"/>
      <c r="T265" s="5"/>
      <c r="U265" s="5"/>
    </row>
    <row r="266" spans="1:21" x14ac:dyDescent="0.25">
      <c r="A266" s="8" t="s">
        <v>4</v>
      </c>
      <c r="B266" s="31">
        <v>286.3</v>
      </c>
      <c r="C266" s="5"/>
      <c r="D266" s="1">
        <v>24753</v>
      </c>
      <c r="E266" s="5"/>
      <c r="F266" s="5"/>
      <c r="G266" s="26">
        <f>(5.01*(B266^0.59)*Z$69)/(86.4*I$16)</f>
        <v>21.945833112638891</v>
      </c>
      <c r="H266" s="42">
        <f t="shared" ref="H266:H273" si="86">L$30^(J266-(0.6458446*LN(P$34))-(9.53942*N266*(P$34/P$33))+(4.8904*N266))</f>
        <v>238.98127954779537</v>
      </c>
      <c r="I266" s="42">
        <f t="shared" ref="I266:I273" si="87">L$30^(K$28-(0.6458446*LN(P$34))-(9.53942*N266*(P$34/P$33))+(4.8904*N266))</f>
        <v>2.1736009596051704</v>
      </c>
      <c r="J266" s="32">
        <v>4.7</v>
      </c>
      <c r="K266" s="56"/>
      <c r="L266" s="56"/>
      <c r="M266" s="22">
        <f t="shared" si="84"/>
        <v>135.0228735659237</v>
      </c>
      <c r="N266" s="10">
        <f t="shared" si="85"/>
        <v>1.0924180709217128</v>
      </c>
      <c r="O266" s="22"/>
      <c r="P266" s="22"/>
      <c r="Q266" s="89">
        <v>123.6</v>
      </c>
      <c r="R266" s="89"/>
      <c r="S266" s="5"/>
      <c r="T266" s="5"/>
      <c r="U266" s="5"/>
    </row>
    <row r="267" spans="1:21" x14ac:dyDescent="0.25">
      <c r="A267" s="8" t="s">
        <v>5</v>
      </c>
      <c r="B267" s="31">
        <v>106.9</v>
      </c>
      <c r="C267" s="5"/>
      <c r="D267" s="1">
        <v>14384</v>
      </c>
      <c r="E267" s="5"/>
      <c r="F267" s="5"/>
      <c r="G267" s="26">
        <f>(5.01*(B267^0.59)*Z$69)/(86.4*I$17)</f>
        <v>12.681328773797816</v>
      </c>
      <c r="H267" s="42">
        <f t="shared" si="86"/>
        <v>211.21023946910071</v>
      </c>
      <c r="I267" s="42">
        <f t="shared" si="87"/>
        <v>4.2752989637809549</v>
      </c>
      <c r="J267" s="32">
        <v>3.9</v>
      </c>
      <c r="K267" s="56"/>
      <c r="L267" s="56"/>
      <c r="M267" s="22">
        <f t="shared" si="84"/>
        <v>-44.377126434076303</v>
      </c>
      <c r="N267" s="10">
        <f t="shared" si="85"/>
        <v>-0.40527056104179271</v>
      </c>
      <c r="O267" s="59"/>
      <c r="P267" s="59"/>
      <c r="Q267" s="89">
        <v>109.5</v>
      </c>
      <c r="R267" s="89"/>
      <c r="S267" s="5"/>
      <c r="T267" s="5"/>
      <c r="U267" s="5"/>
    </row>
    <row r="268" spans="1:21" x14ac:dyDescent="0.25">
      <c r="A268" s="8" t="s">
        <v>6</v>
      </c>
      <c r="B268" s="31">
        <v>59.3</v>
      </c>
      <c r="C268" s="5"/>
      <c r="D268" s="1">
        <v>8686</v>
      </c>
      <c r="E268" s="5"/>
      <c r="F268" s="5"/>
      <c r="G268" s="26">
        <f>(5.01*(B268^0.59)*Z$69)/(86.4*I$18)</f>
        <v>8.6682164236938757</v>
      </c>
      <c r="H268" s="42">
        <f t="shared" si="86"/>
        <v>58.182425549333473</v>
      </c>
      <c r="I268" s="42">
        <f t="shared" si="87"/>
        <v>5.2781905632494999</v>
      </c>
      <c r="J268" s="32">
        <v>2.4</v>
      </c>
      <c r="K268" s="56"/>
      <c r="L268" s="56"/>
      <c r="M268" s="22">
        <f t="shared" si="84"/>
        <v>-91.977126434076311</v>
      </c>
      <c r="N268" s="10">
        <f t="shared" si="85"/>
        <v>-0.87182110364053378</v>
      </c>
      <c r="O268" s="59"/>
      <c r="P268" s="59"/>
      <c r="Q268" s="89">
        <v>105.5</v>
      </c>
      <c r="R268" s="89"/>
      <c r="S268" s="5"/>
      <c r="T268" s="5"/>
      <c r="U268" s="5"/>
    </row>
    <row r="269" spans="1:21" x14ac:dyDescent="0.25">
      <c r="A269" s="8" t="s">
        <v>7</v>
      </c>
      <c r="B269" s="31">
        <v>6.9</v>
      </c>
      <c r="C269" s="5"/>
      <c r="D269" s="1">
        <v>3147</v>
      </c>
      <c r="E269" s="5"/>
      <c r="F269" s="5"/>
      <c r="G269" s="26">
        <f>(5.01*(B269^0.59)*Z$69)/(86.4*I$19)</f>
        <v>2.4363991565413072</v>
      </c>
      <c r="H269" s="42">
        <f t="shared" si="86"/>
        <v>19.98604187209034</v>
      </c>
      <c r="I269" s="42">
        <f t="shared" si="87"/>
        <v>6.6527754167983337</v>
      </c>
      <c r="J269" s="32">
        <v>1.1000000000000001</v>
      </c>
      <c r="K269" s="56"/>
      <c r="L269" s="56"/>
      <c r="M269" s="22">
        <f t="shared" si="84"/>
        <v>-144.3771264340763</v>
      </c>
      <c r="N269" s="10">
        <f t="shared" si="85"/>
        <v>-1.3842485755903768</v>
      </c>
      <c r="O269" s="60"/>
      <c r="P269" s="59"/>
      <c r="Q269" s="89">
        <v>104.3</v>
      </c>
      <c r="R269" s="89"/>
      <c r="S269" s="5"/>
      <c r="T269" s="5"/>
      <c r="U269" s="5"/>
    </row>
    <row r="270" spans="1:21" x14ac:dyDescent="0.25">
      <c r="A270" s="8" t="s">
        <v>8</v>
      </c>
      <c r="B270" s="31">
        <v>12.7</v>
      </c>
      <c r="C270" s="5"/>
      <c r="D270" s="1">
        <v>2312</v>
      </c>
      <c r="E270" s="5"/>
      <c r="F270" s="5"/>
      <c r="G270" s="26">
        <f>(5.01*(B270^0.59)*Z$69)/(86.4*I$20)</f>
        <v>3.6083787072927813</v>
      </c>
      <c r="H270" s="42">
        <f t="shared" si="86"/>
        <v>19.815646580470368</v>
      </c>
      <c r="I270" s="42">
        <f t="shared" si="87"/>
        <v>6.5960557514197395</v>
      </c>
      <c r="J270" s="32">
        <v>1.1000000000000001</v>
      </c>
      <c r="K270" s="56"/>
      <c r="L270" s="56"/>
      <c r="M270" s="22">
        <f t="shared" si="84"/>
        <v>-138.57712643407632</v>
      </c>
      <c r="N270" s="10">
        <f t="shared" si="85"/>
        <v>-1.3652918860500129</v>
      </c>
      <c r="O270" s="59"/>
      <c r="P270" s="59"/>
      <c r="Q270" s="89">
        <v>101.5</v>
      </c>
      <c r="R270" s="89"/>
      <c r="S270" s="5"/>
      <c r="T270" s="5"/>
      <c r="U270" s="5"/>
    </row>
    <row r="271" spans="1:21" ht="18.75" x14ac:dyDescent="0.3">
      <c r="A271" s="8" t="s">
        <v>9</v>
      </c>
      <c r="B271" s="31">
        <v>11.4</v>
      </c>
      <c r="C271" s="5"/>
      <c r="D271" s="10">
        <v>2.29</v>
      </c>
      <c r="E271" s="5"/>
      <c r="F271" s="5"/>
      <c r="G271" s="26">
        <f>(5.01*(B271^0.59)*Z$69)/(86.4*I$21)</f>
        <v>3.2764333603783986</v>
      </c>
      <c r="H271" s="42">
        <f t="shared" si="86"/>
        <v>70.252687939506615</v>
      </c>
      <c r="I271" s="42">
        <f t="shared" si="87"/>
        <v>6.3731800629522386</v>
      </c>
      <c r="J271" s="32">
        <v>2.4</v>
      </c>
      <c r="K271" s="56"/>
      <c r="L271" s="56"/>
      <c r="M271" s="22">
        <f t="shared" si="84"/>
        <v>-139.8771264340763</v>
      </c>
      <c r="N271" s="10">
        <f t="shared" si="85"/>
        <v>-1.2891901053831918</v>
      </c>
      <c r="O271" s="61"/>
      <c r="P271" s="62"/>
      <c r="Q271" s="89">
        <v>108.5</v>
      </c>
      <c r="R271" s="89"/>
      <c r="S271" s="5"/>
      <c r="T271" s="5"/>
      <c r="U271" s="5"/>
    </row>
    <row r="272" spans="1:21" x14ac:dyDescent="0.25">
      <c r="A272" s="8" t="s">
        <v>10</v>
      </c>
      <c r="B272" s="31">
        <v>26.1</v>
      </c>
      <c r="C272" s="5"/>
      <c r="D272" s="1">
        <v>3688</v>
      </c>
      <c r="E272" s="5"/>
      <c r="F272" s="5"/>
      <c r="G272" s="26">
        <f>(5.01*(B272^0.59)*Z$69)/(86.4*I$22)</f>
        <v>5.5193230628132124</v>
      </c>
      <c r="H272" s="42">
        <f t="shared" si="86"/>
        <v>291.37744104830114</v>
      </c>
      <c r="I272" s="42">
        <f t="shared" si="87"/>
        <v>5.8980363590051859</v>
      </c>
      <c r="J272" s="32">
        <v>3.9</v>
      </c>
      <c r="K272" s="56"/>
      <c r="L272" s="56"/>
      <c r="M272" s="22">
        <f t="shared" si="84"/>
        <v>-125.17712643407631</v>
      </c>
      <c r="N272" s="10">
        <f t="shared" si="85"/>
        <v>-1.1176529145899672</v>
      </c>
      <c r="O272" s="62"/>
      <c r="P272" s="59"/>
      <c r="Q272" s="89">
        <v>112</v>
      </c>
      <c r="R272" s="89"/>
      <c r="S272" s="5"/>
      <c r="T272" s="5"/>
      <c r="U272" s="5"/>
    </row>
    <row r="273" spans="1:21" x14ac:dyDescent="0.25">
      <c r="A273" s="8" t="s">
        <v>11</v>
      </c>
      <c r="B273" s="31">
        <v>11.8</v>
      </c>
      <c r="C273" s="5"/>
      <c r="D273" s="1">
        <v>2668</v>
      </c>
      <c r="E273" s="5"/>
      <c r="F273" s="5"/>
      <c r="G273" s="26">
        <f>(5.01*(B273^0.59)*Z$69)/(86.4*I$23)</f>
        <v>3.3437812737375903</v>
      </c>
      <c r="H273" s="42">
        <f t="shared" si="86"/>
        <v>295.14190656664067</v>
      </c>
      <c r="I273" s="42">
        <f t="shared" si="87"/>
        <v>5.9742363366682039</v>
      </c>
      <c r="J273" s="32">
        <v>3.9</v>
      </c>
      <c r="K273" s="56"/>
      <c r="L273" s="56"/>
      <c r="M273" s="22">
        <f t="shared" si="84"/>
        <v>-139.4771264340763</v>
      </c>
      <c r="N273" s="10">
        <f t="shared" si="85"/>
        <v>-1.146073347856009</v>
      </c>
      <c r="O273" s="22"/>
      <c r="P273" s="22"/>
      <c r="Q273" s="89">
        <v>121.7</v>
      </c>
      <c r="R273" s="89"/>
      <c r="S273" s="5"/>
      <c r="T273" s="5"/>
      <c r="U273" s="5"/>
    </row>
    <row r="274" spans="1:21" x14ac:dyDescent="0.25">
      <c r="A274" s="8" t="s">
        <v>12</v>
      </c>
      <c r="B274" s="11">
        <v>1999</v>
      </c>
      <c r="C274" s="11">
        <v>1999</v>
      </c>
      <c r="D274" s="11">
        <v>1999</v>
      </c>
      <c r="E274" s="11">
        <v>1999</v>
      </c>
      <c r="F274" s="11">
        <v>1999</v>
      </c>
      <c r="G274" s="11">
        <v>1999</v>
      </c>
      <c r="H274" s="11">
        <v>1999</v>
      </c>
      <c r="I274" s="11">
        <v>1999</v>
      </c>
      <c r="J274" s="47" t="s">
        <v>70</v>
      </c>
      <c r="K274" s="27"/>
      <c r="L274" s="27"/>
      <c r="M274" s="39" t="s">
        <v>60</v>
      </c>
      <c r="N274" s="39" t="s">
        <v>73</v>
      </c>
      <c r="O274" s="105" t="s">
        <v>57</v>
      </c>
      <c r="P274" s="105"/>
      <c r="Q274" s="10"/>
      <c r="R274" s="10"/>
      <c r="S274" s="5"/>
      <c r="T274" s="5"/>
      <c r="U274" s="5"/>
    </row>
    <row r="275" spans="1:21" x14ac:dyDescent="0.25">
      <c r="A275" s="8" t="s">
        <v>0</v>
      </c>
      <c r="B275" s="31">
        <v>100.2</v>
      </c>
      <c r="C275" s="5"/>
      <c r="D275" s="10">
        <v>9.02</v>
      </c>
      <c r="E275" s="5"/>
      <c r="F275" s="5"/>
      <c r="G275" s="26">
        <f>(5.01*(B275^0.59)*Z$69)/(86.4*I$12)</f>
        <v>11.812435024669126</v>
      </c>
      <c r="H275" s="42">
        <f>L$30^(J275-(0.6458446*LN(P$34))-(9.53942*N275*(P$34/P$33))+(4.8904*N275))</f>
        <v>411.24053169905898</v>
      </c>
      <c r="I275" s="42">
        <f>L$30^(K$28-(0.6458446*LN(P$34))-(9.53942*N275*(P$34/P$33))+(4.8904*N275))</f>
        <v>3.7403465912519032</v>
      </c>
      <c r="J275" s="32">
        <v>4.7</v>
      </c>
      <c r="K275" s="56"/>
      <c r="L275" s="56"/>
      <c r="M275" s="22">
        <f>(B275-(0.74*P$276))</f>
        <v>-13.828356692800782</v>
      </c>
      <c r="N275" s="10">
        <f>M275/Q275</f>
        <v>-0.1093150726703619</v>
      </c>
      <c r="O275" s="50" t="s">
        <v>58</v>
      </c>
      <c r="P275" s="22">
        <f>(B275+B276+B277+B278+B279+B280+B281+B282+B283+B284+B285+B286)/12</f>
        <v>98.316666666666663</v>
      </c>
      <c r="Q275" s="89">
        <v>126.5</v>
      </c>
      <c r="R275" s="89"/>
      <c r="S275" s="5"/>
      <c r="T275" s="5"/>
      <c r="U275" s="5"/>
    </row>
    <row r="276" spans="1:21" x14ac:dyDescent="0.25">
      <c r="A276" s="8" t="s">
        <v>1</v>
      </c>
      <c r="B276" s="31">
        <v>485.5</v>
      </c>
      <c r="C276" s="5"/>
      <c r="D276" s="1">
        <v>27718</v>
      </c>
      <c r="E276" s="5"/>
      <c r="F276" s="5"/>
      <c r="G276" s="26">
        <f>(5.01*(B276^0.59)*Z$69)/(86.4*J$13)</f>
        <v>32.036334609515663</v>
      </c>
      <c r="H276" s="42">
        <f>L$30^(J276-(0.6458446*LN(P$34))-(9.53942*N276*(P$34/P$33))+(4.8904*N276))</f>
        <v>90.53305091036286</v>
      </c>
      <c r="I276" s="42">
        <f>L$30^(K$28-(0.6458446*LN(P$34))-(9.53942*N276*(P$34/P$33))+(4.8904*N276))</f>
        <v>0.82342318489173816</v>
      </c>
      <c r="J276" s="32">
        <v>4.7</v>
      </c>
      <c r="K276" s="56"/>
      <c r="L276" s="56"/>
      <c r="M276" s="22">
        <f t="shared" ref="M276:M286" si="88">(B276-(0.74*P$276))</f>
        <v>371.4716433071992</v>
      </c>
      <c r="N276" s="10">
        <f t="shared" ref="N276:N286" si="89">M276/Q276</f>
        <v>3.2414628560837628</v>
      </c>
      <c r="O276" s="50" t="s">
        <v>66</v>
      </c>
      <c r="P276" s="22">
        <f>((((B275-P275)^2+(B276-P275)^2+(B277-P275)^2+(B278-P275)^2+(B279-P275)^2+(B280-P275)^2+(B281-P275)^2+(B282-P275)^2+(B283-P275)^2+(B284-P275)^2+(B285-P275)^2+(B286-P275)^2))/(12-1))^0.5</f>
        <v>154.09237390919026</v>
      </c>
      <c r="Q276" s="89">
        <v>114.6</v>
      </c>
      <c r="R276" s="89"/>
      <c r="S276" s="5"/>
      <c r="T276" s="5"/>
      <c r="U276" s="5"/>
    </row>
    <row r="277" spans="1:21" x14ac:dyDescent="0.25">
      <c r="A277" s="8" t="s">
        <v>2</v>
      </c>
      <c r="B277" s="31">
        <v>267.3</v>
      </c>
      <c r="C277" s="5"/>
      <c r="D277" s="1">
        <v>23906</v>
      </c>
      <c r="E277" s="5"/>
      <c r="F277" s="5"/>
      <c r="G277" s="26">
        <f>(5.01*(B277^0.59)*Z$69)/(86.4*I$14)</f>
        <v>21.074479763960227</v>
      </c>
      <c r="H277" s="42">
        <f>L$30^(J277-(0.6458446*LN(P$34))-(9.53942*N277*(P$34/P$33))+(4.8904*N277))</f>
        <v>230.19024769486089</v>
      </c>
      <c r="I277" s="42">
        <f>L$30^(K$28-(0.6458446*LN(P$34))-(9.53942*N277*(P$34/P$33))+(4.8904*N277))</f>
        <v>2.093644088892892</v>
      </c>
      <c r="J277" s="32">
        <v>4.7</v>
      </c>
      <c r="K277" s="56"/>
      <c r="L277" s="58"/>
      <c r="M277" s="22">
        <f t="shared" si="88"/>
        <v>153.27164330719921</v>
      </c>
      <c r="N277" s="10">
        <f t="shared" si="89"/>
        <v>1.1753960376318957</v>
      </c>
      <c r="O277" s="22"/>
      <c r="P277" s="22"/>
      <c r="Q277" s="89">
        <v>130.4</v>
      </c>
      <c r="R277" s="89"/>
      <c r="S277" s="5"/>
      <c r="T277" s="5"/>
      <c r="U277" s="5"/>
    </row>
    <row r="278" spans="1:21" x14ac:dyDescent="0.25">
      <c r="A278" s="8" t="s">
        <v>3</v>
      </c>
      <c r="B278" s="31">
        <v>232</v>
      </c>
      <c r="C278" s="5"/>
      <c r="D278" s="1">
        <v>19906</v>
      </c>
      <c r="E278" s="5"/>
      <c r="F278" s="5"/>
      <c r="G278" s="26">
        <f>(5.01*(B278^0.59)*Z$69)/(86.4*I$15)</f>
        <v>20.031147418806015</v>
      </c>
      <c r="H278" s="42">
        <f>L$30^(J278-(0.6458446*LN(P$34))-(9.53942*N278*(P$34/P$33))+(4.8904*N278))</f>
        <v>258.14342953872398</v>
      </c>
      <c r="I278" s="42">
        <f>L$30^(K$28-(0.6458446*LN(P$34))-(9.53942*N278*(P$34/P$33))+(4.8904*N278))</f>
        <v>2.3478860236369345</v>
      </c>
      <c r="J278" s="32">
        <v>4.7</v>
      </c>
      <c r="K278" s="56"/>
      <c r="L278" s="56"/>
      <c r="M278" s="22">
        <f t="shared" si="88"/>
        <v>117.97164330719922</v>
      </c>
      <c r="N278" s="10">
        <f t="shared" si="89"/>
        <v>0.92165346333749387</v>
      </c>
      <c r="O278" s="59"/>
      <c r="P278" s="59"/>
      <c r="Q278" s="89">
        <v>128</v>
      </c>
      <c r="R278" s="89"/>
      <c r="S278" s="5"/>
      <c r="T278" s="5"/>
      <c r="U278" s="5"/>
    </row>
    <row r="279" spans="1:21" x14ac:dyDescent="0.25">
      <c r="A279" s="8" t="s">
        <v>4</v>
      </c>
      <c r="B279" s="31">
        <v>77.400000000000006</v>
      </c>
      <c r="C279" s="5"/>
      <c r="D279" s="1">
        <v>11746</v>
      </c>
      <c r="E279" s="5"/>
      <c r="F279" s="5"/>
      <c r="G279" s="26">
        <f>(5.01*(B279^0.59)*Z$69)/(86.4*I$16)</f>
        <v>10.143425498658706</v>
      </c>
      <c r="H279" s="42">
        <f t="shared" ref="H279:H286" si="90">L$30^(J279-(0.6458446*LN(P$34))-(9.53942*N279*(P$34/P$33))+(4.8904*N279))</f>
        <v>447.49057567469214</v>
      </c>
      <c r="I279" s="42">
        <f t="shared" ref="I279:I286" si="91">L$30^(K$28-(0.6458446*LN(P$34))-(9.53942*N279*(P$34/P$33))+(4.8904*N279))</f>
        <v>4.0700507861589665</v>
      </c>
      <c r="J279" s="32">
        <v>4.7</v>
      </c>
      <c r="K279" s="56"/>
      <c r="L279" s="56"/>
      <c r="M279" s="22">
        <f t="shared" si="88"/>
        <v>-36.628356692800779</v>
      </c>
      <c r="N279" s="10">
        <f t="shared" si="89"/>
        <v>-0.29634592793528142</v>
      </c>
      <c r="O279" s="59"/>
      <c r="P279" s="59"/>
      <c r="Q279" s="89">
        <v>123.6</v>
      </c>
      <c r="R279" s="89"/>
      <c r="S279" s="5"/>
      <c r="T279" s="5"/>
      <c r="U279" s="5"/>
    </row>
    <row r="280" spans="1:21" x14ac:dyDescent="0.25">
      <c r="A280" s="8" t="s">
        <v>5</v>
      </c>
      <c r="B280" s="31">
        <v>3.4</v>
      </c>
      <c r="C280" s="5"/>
      <c r="D280" s="1">
        <v>3287</v>
      </c>
      <c r="E280" s="5"/>
      <c r="F280" s="5"/>
      <c r="G280" s="26">
        <f>(5.01*(B280^0.59)*Z$69)/(86.4*I$17)</f>
        <v>1.6582136167361958</v>
      </c>
      <c r="H280" s="42">
        <f t="shared" si="90"/>
        <v>277.58658870657172</v>
      </c>
      <c r="I280" s="42">
        <f t="shared" si="91"/>
        <v>5.6188831471417071</v>
      </c>
      <c r="J280" s="32">
        <v>3.9</v>
      </c>
      <c r="K280" s="56"/>
      <c r="L280" s="56"/>
      <c r="M280" s="22">
        <f t="shared" si="88"/>
        <v>-110.62835669280078</v>
      </c>
      <c r="N280" s="10">
        <f>M280/Q280</f>
        <v>-1.0103046273315139</v>
      </c>
      <c r="O280" s="59"/>
      <c r="P280" s="59"/>
      <c r="Q280" s="89">
        <v>109.5</v>
      </c>
      <c r="R280" s="89"/>
      <c r="S280" s="5"/>
      <c r="T280" s="5"/>
      <c r="U280" s="5"/>
    </row>
    <row r="281" spans="1:21" x14ac:dyDescent="0.25">
      <c r="A281" s="8" t="s">
        <v>6</v>
      </c>
      <c r="B281" s="31">
        <v>0.1</v>
      </c>
      <c r="C281" s="5"/>
      <c r="D281" s="10">
        <v>0.70399999999999996</v>
      </c>
      <c r="E281" s="5"/>
      <c r="F281" s="5"/>
      <c r="G281" s="26">
        <f>(5.01*(B281^0.59)*Z$69)/(86.4*I$18)</f>
        <v>0.20036759109694574</v>
      </c>
      <c r="H281" s="42">
        <f t="shared" si="90"/>
        <v>63.915553722528301</v>
      </c>
      <c r="I281" s="42">
        <f t="shared" si="91"/>
        <v>5.7982882170676264</v>
      </c>
      <c r="J281" s="32">
        <v>2.4</v>
      </c>
      <c r="K281" s="56"/>
      <c r="L281" s="56"/>
      <c r="M281" s="22">
        <f t="shared" si="88"/>
        <v>-113.92835669280079</v>
      </c>
      <c r="N281" s="10">
        <f t="shared" si="89"/>
        <v>-1.0798896368985857</v>
      </c>
      <c r="O281" s="59"/>
      <c r="P281" s="59"/>
      <c r="Q281" s="89">
        <v>105.5</v>
      </c>
      <c r="R281" s="89"/>
      <c r="S281" s="5"/>
      <c r="T281" s="5"/>
      <c r="U281" s="5"/>
    </row>
    <row r="282" spans="1:21" x14ac:dyDescent="0.25">
      <c r="A282" s="8" t="s">
        <v>7</v>
      </c>
      <c r="B282" s="31">
        <v>0.5</v>
      </c>
      <c r="C282" s="5"/>
      <c r="D282" s="10">
        <v>0.30099999999999999</v>
      </c>
      <c r="E282" s="5"/>
      <c r="F282" s="5"/>
      <c r="G282" s="26">
        <f>(5.01*(B282^0.59)*Z$69)/(86.4*I$19)</f>
        <v>0.5178688388766739</v>
      </c>
      <c r="H282" s="42">
        <f t="shared" si="90"/>
        <v>17.486730362077196</v>
      </c>
      <c r="I282" s="42">
        <f t="shared" si="91"/>
        <v>5.8208268859611216</v>
      </c>
      <c r="J282" s="32">
        <v>1.1000000000000001</v>
      </c>
      <c r="K282" s="56"/>
      <c r="L282" s="56"/>
      <c r="M282" s="22">
        <f t="shared" si="88"/>
        <v>-113.52835669280078</v>
      </c>
      <c r="N282" s="10">
        <f t="shared" si="89"/>
        <v>-1.0884789711677927</v>
      </c>
      <c r="O282" s="60"/>
      <c r="P282" s="59"/>
      <c r="Q282" s="89">
        <v>104.3</v>
      </c>
      <c r="R282" s="89"/>
      <c r="S282" s="5"/>
      <c r="T282" s="5"/>
      <c r="U282" s="5"/>
    </row>
    <row r="283" spans="1:21" x14ac:dyDescent="0.25">
      <c r="A283" s="8" t="s">
        <v>8</v>
      </c>
      <c r="B283" s="31">
        <v>0.1</v>
      </c>
      <c r="C283" s="5"/>
      <c r="D283" s="10">
        <v>0.20799999999999999</v>
      </c>
      <c r="E283" s="5"/>
      <c r="F283" s="5"/>
      <c r="G283" s="26">
        <f>(5.01*(B283^0.59)*Z$69)/(86.4*I$20)</f>
        <v>0.20704651080017727</v>
      </c>
      <c r="H283" s="42">
        <f t="shared" si="90"/>
        <v>17.757088406545098</v>
      </c>
      <c r="I283" s="42">
        <f t="shared" si="91"/>
        <v>5.9108212612096516</v>
      </c>
      <c r="J283" s="32">
        <v>1.1000000000000001</v>
      </c>
      <c r="K283" s="56"/>
      <c r="L283" s="56"/>
      <c r="M283" s="22">
        <f t="shared" si="88"/>
        <v>-113.92835669280079</v>
      </c>
      <c r="N283" s="10">
        <f t="shared" si="89"/>
        <v>-1.1224468639684806</v>
      </c>
      <c r="O283" s="59"/>
      <c r="P283" s="59"/>
      <c r="Q283" s="89">
        <v>101.5</v>
      </c>
      <c r="R283" s="89"/>
      <c r="S283" s="5"/>
      <c r="T283" s="5"/>
      <c r="U283" s="5"/>
    </row>
    <row r="284" spans="1:21" ht="18.75" x14ac:dyDescent="0.3">
      <c r="A284" s="8" t="s">
        <v>9</v>
      </c>
      <c r="B284" s="31">
        <v>0</v>
      </c>
      <c r="C284" s="5"/>
      <c r="D284" s="10">
        <v>7.1999999999999995E-2</v>
      </c>
      <c r="E284" s="5"/>
      <c r="F284" s="5"/>
      <c r="G284" s="26">
        <f>(5.01*(B284^0.59)*Z$69)/(86.4*I$21)</f>
        <v>0</v>
      </c>
      <c r="H284" s="42">
        <f t="shared" si="90"/>
        <v>63.085603852488219</v>
      </c>
      <c r="I284" s="42">
        <f t="shared" si="91"/>
        <v>5.7229968635247817</v>
      </c>
      <c r="J284" s="32">
        <v>2.4</v>
      </c>
      <c r="K284" s="56"/>
      <c r="L284" s="56"/>
      <c r="M284" s="22">
        <f t="shared" si="88"/>
        <v>-114.02835669280078</v>
      </c>
      <c r="N284" s="10">
        <f>M284/Q284</f>
        <v>-1.0509525962470119</v>
      </c>
      <c r="O284" s="61"/>
      <c r="P284" s="62"/>
      <c r="Q284" s="89">
        <v>108.5</v>
      </c>
      <c r="R284" s="89"/>
      <c r="S284" s="5"/>
      <c r="T284" s="5"/>
      <c r="U284" s="5"/>
    </row>
    <row r="285" spans="1:21" x14ac:dyDescent="0.25">
      <c r="A285" s="8" t="s">
        <v>10</v>
      </c>
      <c r="B285" s="31">
        <v>0.8</v>
      </c>
      <c r="C285" s="5"/>
      <c r="D285" s="10">
        <v>0.35899999999999999</v>
      </c>
      <c r="E285" s="5"/>
      <c r="F285" s="5"/>
      <c r="G285" s="26">
        <f>(5.01*(B285^0.59)*Z$69)/(86.4*I$22)</f>
        <v>0.70614031730816851</v>
      </c>
      <c r="H285" s="42">
        <f t="shared" si="90"/>
        <v>277.66970774388574</v>
      </c>
      <c r="I285" s="42">
        <f t="shared" si="91"/>
        <v>5.6205656353344784</v>
      </c>
      <c r="J285" s="32">
        <v>3.9</v>
      </c>
      <c r="K285" s="56"/>
      <c r="L285" s="56"/>
      <c r="M285" s="22">
        <f t="shared" si="88"/>
        <v>-113.22835669280079</v>
      </c>
      <c r="N285" s="10">
        <f t="shared" si="89"/>
        <v>-1.0109674704714355</v>
      </c>
      <c r="O285" s="10"/>
      <c r="P285" s="22"/>
      <c r="Q285" s="89">
        <v>112</v>
      </c>
      <c r="R285" s="89"/>
      <c r="S285" s="5"/>
      <c r="T285" s="5"/>
      <c r="U285" s="5"/>
    </row>
    <row r="286" spans="1:21" x14ac:dyDescent="0.25">
      <c r="A286" s="8" t="s">
        <v>11</v>
      </c>
      <c r="B286" s="31">
        <v>12.5</v>
      </c>
      <c r="C286" s="5"/>
      <c r="D286" s="1">
        <v>1966</v>
      </c>
      <c r="E286" s="5"/>
      <c r="F286" s="5"/>
      <c r="G286" s="26">
        <f>(5.01*(B286^0.59)*Z$69)/(86.4*I$23)</f>
        <v>3.4594287043447944</v>
      </c>
      <c r="H286" s="42">
        <f t="shared" si="90"/>
        <v>256.36799573807355</v>
      </c>
      <c r="I286" s="42">
        <f t="shared" si="91"/>
        <v>5.1893782672687809</v>
      </c>
      <c r="J286" s="32">
        <v>3.9</v>
      </c>
      <c r="K286" s="56"/>
      <c r="L286" s="56"/>
      <c r="M286" s="22">
        <f t="shared" si="88"/>
        <v>-101.52835669280078</v>
      </c>
      <c r="N286" s="10">
        <f t="shared" si="89"/>
        <v>-0.83425108211011323</v>
      </c>
      <c r="O286" s="22"/>
      <c r="P286" s="22"/>
      <c r="Q286" s="89">
        <v>121.7</v>
      </c>
      <c r="R286" s="89"/>
      <c r="S286" s="5"/>
      <c r="T286" s="5"/>
      <c r="U286" s="5"/>
    </row>
    <row r="287" spans="1:21" x14ac:dyDescent="0.25">
      <c r="A287" s="8" t="s">
        <v>12</v>
      </c>
      <c r="B287" s="11">
        <v>2000</v>
      </c>
      <c r="C287" s="11">
        <v>2000</v>
      </c>
      <c r="D287" s="11">
        <v>2000</v>
      </c>
      <c r="E287" s="11">
        <v>2000</v>
      </c>
      <c r="F287" s="11">
        <v>2000</v>
      </c>
      <c r="G287" s="11">
        <v>2000</v>
      </c>
      <c r="H287" s="11">
        <v>2000</v>
      </c>
      <c r="I287" s="11">
        <v>2000</v>
      </c>
      <c r="J287" s="47" t="s">
        <v>70</v>
      </c>
      <c r="K287" s="27"/>
      <c r="L287" s="27"/>
      <c r="M287" s="39" t="s">
        <v>60</v>
      </c>
      <c r="N287" s="39" t="s">
        <v>73</v>
      </c>
      <c r="O287" s="105" t="s">
        <v>57</v>
      </c>
      <c r="P287" s="105"/>
      <c r="Q287" s="10"/>
      <c r="R287" s="10"/>
      <c r="S287" s="5"/>
      <c r="T287" s="5"/>
      <c r="U287" s="5"/>
    </row>
    <row r="288" spans="1:21" x14ac:dyDescent="0.25">
      <c r="A288" s="8" t="s">
        <v>0</v>
      </c>
      <c r="B288" s="31">
        <v>111.6</v>
      </c>
      <c r="C288" s="5"/>
      <c r="D288" s="1">
        <v>9716</v>
      </c>
      <c r="E288" s="5"/>
      <c r="F288" s="5"/>
      <c r="G288" s="26">
        <f>(5.01*(B288^0.59)*Z$69)/(86.4*I$12)</f>
        <v>12.58778602105477</v>
      </c>
      <c r="H288" s="42">
        <f>L$30^(J288-(0.6458446*LN(P$34))-(9.53942*N288*(P$34/P$33))+(4.8904*N288))</f>
        <v>332.31500411511001</v>
      </c>
      <c r="I288" s="42">
        <f>L$30^(K$28-(0.6458446*LN(P$34))-(9.53942*N288*(P$34/P$33))+(4.8904*N288))</f>
        <v>3.0224970474783066</v>
      </c>
      <c r="J288" s="32">
        <v>4.7</v>
      </c>
      <c r="K288" s="56"/>
      <c r="L288" s="56"/>
      <c r="M288" s="22">
        <f>(B288-(0.74*P$289))</f>
        <v>45.852828856799206</v>
      </c>
      <c r="N288" s="10">
        <f>M288/Q288</f>
        <v>0.36247295538971702</v>
      </c>
      <c r="O288" s="50" t="s">
        <v>58</v>
      </c>
      <c r="P288" s="22">
        <f>(B288+B289+B290+B291+B292+B293+B294+B295+B296+B297+B298+B299)/12</f>
        <v>65.583333333333329</v>
      </c>
      <c r="Q288" s="89">
        <v>126.5</v>
      </c>
      <c r="R288" s="89"/>
      <c r="S288" s="5"/>
      <c r="T288" s="5"/>
      <c r="U288" s="5"/>
    </row>
    <row r="289" spans="1:21" x14ac:dyDescent="0.25">
      <c r="A289" s="8" t="s">
        <v>1</v>
      </c>
      <c r="B289" s="31">
        <v>244</v>
      </c>
      <c r="C289" s="5"/>
      <c r="D289" s="1">
        <v>18162</v>
      </c>
      <c r="E289" s="5"/>
      <c r="F289" s="5"/>
      <c r="G289" s="26">
        <f>(5.01*(B289^0.59)*Z$69)/(86.4*J$13)</f>
        <v>21.347703903022751</v>
      </c>
      <c r="H289" s="42">
        <f>L$30^(J289-(0.6458446*LN(P$34))-(9.53942*N289*(P$34/P$33))+(4.8904*N289))</f>
        <v>193.88244927499159</v>
      </c>
      <c r="I289" s="42">
        <f>L$30^(K$28-(0.6458446*LN(P$34))-(9.53942*N289*(P$34/P$33))+(4.8904*N289))</f>
        <v>1.7634146013116443</v>
      </c>
      <c r="J289" s="32">
        <v>4.7</v>
      </c>
      <c r="K289" s="56"/>
      <c r="L289" s="56"/>
      <c r="M289" s="22">
        <f t="shared" ref="M289:M299" si="92">(B289-(0.74*P$289))</f>
        <v>178.25282885679923</v>
      </c>
      <c r="N289" s="10">
        <f t="shared" ref="N289:N299" si="93">M289/Q289</f>
        <v>1.5554348067783528</v>
      </c>
      <c r="O289" s="50" t="s">
        <v>66</v>
      </c>
      <c r="P289" s="22">
        <f>((((B288-P288)^2+(B289-P288)^2+(B290-P288)^2+(B291-P288)^2+(B292-P288)^2+(B293-P288)^2+(B294-P288)^2+(B295-P288)^2+(B296-P288)^2+(B297-P288)^2+(B298-P288)^2+(B299-P288)^2))/(12-1))^0.5</f>
        <v>88.847528571892951</v>
      </c>
      <c r="Q289" s="89">
        <v>114.6</v>
      </c>
      <c r="R289" s="89"/>
      <c r="S289" s="5"/>
      <c r="T289" s="5"/>
      <c r="U289" s="5"/>
    </row>
    <row r="290" spans="1:21" x14ac:dyDescent="0.25">
      <c r="A290" s="8" t="s">
        <v>2</v>
      </c>
      <c r="B290" s="31">
        <v>128.69999999999999</v>
      </c>
      <c r="C290" s="5"/>
      <c r="D290" s="1">
        <v>14584</v>
      </c>
      <c r="E290" s="5"/>
      <c r="F290" s="5"/>
      <c r="G290" s="26">
        <f>(5.01*(B290^0.59)*Z$69)/(86.4*I$14)</f>
        <v>13.692376095528276</v>
      </c>
      <c r="H290" s="42">
        <f>L$30^(J290-(0.6458446*LN(P$34))-(9.53942*N290*(P$34/P$33))+(4.8904*N290))</f>
        <v>314.74080166454559</v>
      </c>
      <c r="I290" s="42">
        <f>L$30^(K$28-(0.6458446*LN(P$34))-(9.53942*N290*(P$34/P$33))+(4.8904*N290))</f>
        <v>2.8626548063491084</v>
      </c>
      <c r="J290" s="32">
        <v>4.7</v>
      </c>
      <c r="K290" s="56"/>
      <c r="L290" s="58"/>
      <c r="M290" s="22">
        <f t="shared" si="92"/>
        <v>62.952828856799201</v>
      </c>
      <c r="N290" s="10">
        <f t="shared" si="93"/>
        <v>0.48276709246011656</v>
      </c>
      <c r="O290" s="22"/>
      <c r="P290" s="22"/>
      <c r="Q290" s="89">
        <v>130.4</v>
      </c>
      <c r="R290" s="89"/>
      <c r="S290" s="5"/>
      <c r="T290" s="5"/>
      <c r="U290" s="5"/>
    </row>
    <row r="291" spans="1:21" x14ac:dyDescent="0.25">
      <c r="A291" s="8" t="s">
        <v>3</v>
      </c>
      <c r="B291" s="31">
        <v>215.2</v>
      </c>
      <c r="C291" s="5"/>
      <c r="D291" s="1">
        <v>16996</v>
      </c>
      <c r="E291" s="5"/>
      <c r="F291" s="5"/>
      <c r="G291" s="26">
        <f>(5.01*(B291^0.59)*Z$69)/(86.4*I$15)</f>
        <v>19.162177272844836</v>
      </c>
      <c r="H291" s="42">
        <f>L$30^(J291-(0.6458446*LN(P$34))-(9.53942*N291*(P$34/P$33))+(4.8904*N291))</f>
        <v>231.00221655030444</v>
      </c>
      <c r="I291" s="42">
        <f>L$30^(K$28-(0.6458446*LN(P$34))-(9.53942*N291*(P$34/P$33))+(4.8904*N291))</f>
        <v>2.1010291706310982</v>
      </c>
      <c r="J291" s="32">
        <v>4.7</v>
      </c>
      <c r="K291" s="56"/>
      <c r="L291" s="56"/>
      <c r="M291" s="22">
        <f t="shared" si="92"/>
        <v>149.45282885679921</v>
      </c>
      <c r="N291" s="10">
        <f t="shared" si="93"/>
        <v>1.1676002254437439</v>
      </c>
      <c r="O291" s="22"/>
      <c r="P291" s="22"/>
      <c r="Q291" s="89">
        <v>128</v>
      </c>
      <c r="R291" s="89"/>
      <c r="S291" s="5"/>
      <c r="T291" s="5"/>
      <c r="U291" s="5"/>
    </row>
    <row r="292" spans="1:21" x14ac:dyDescent="0.25">
      <c r="A292" s="8" t="s">
        <v>4</v>
      </c>
      <c r="B292" s="31">
        <v>57</v>
      </c>
      <c r="C292" s="5"/>
      <c r="D292" s="1">
        <v>10063</v>
      </c>
      <c r="E292" s="5"/>
      <c r="F292" s="5"/>
      <c r="G292" s="26">
        <f>(5.01*(B292^0.59)*Z$69)/(86.4*I$16)</f>
        <v>8.4682494344856423</v>
      </c>
      <c r="H292" s="42">
        <f t="shared" ref="H292:H299" si="94">L$30^(J292-(0.6458446*LN(P$34))-(9.53942*N292*(P$34/P$33))+(4.8904*N292))</f>
        <v>404.14285706432776</v>
      </c>
      <c r="I292" s="42">
        <f t="shared" ref="I292:I299" si="95">L$30^(K$28-(0.6458446*LN(P$34))-(9.53942*N292*(P$34/P$33))+(4.8904*N292))</f>
        <v>3.6757912736713418</v>
      </c>
      <c r="J292" s="32">
        <v>4.7</v>
      </c>
      <c r="K292" s="56"/>
      <c r="L292" s="56"/>
      <c r="M292" s="22">
        <f t="shared" si="92"/>
        <v>-8.7471711432007879</v>
      </c>
      <c r="N292" s="10">
        <f t="shared" si="93"/>
        <v>-7.0769993067967538E-2</v>
      </c>
      <c r="O292" s="22"/>
      <c r="P292" s="22"/>
      <c r="Q292" s="89">
        <v>123.6</v>
      </c>
      <c r="R292" s="89"/>
      <c r="S292" s="5"/>
      <c r="T292" s="5"/>
      <c r="U292" s="5"/>
    </row>
    <row r="293" spans="1:21" x14ac:dyDescent="0.25">
      <c r="A293" s="8" t="s">
        <v>5</v>
      </c>
      <c r="B293" s="31">
        <v>6.7</v>
      </c>
      <c r="C293" s="5"/>
      <c r="D293" s="1">
        <v>3017</v>
      </c>
      <c r="E293" s="5"/>
      <c r="F293" s="5"/>
      <c r="G293" s="26">
        <f>(5.01*(B293^0.59)*Z$69)/(86.4*I$17)</f>
        <v>2.4742982595940295</v>
      </c>
      <c r="H293" s="42">
        <f t="shared" si="94"/>
        <v>224.38567159747214</v>
      </c>
      <c r="I293" s="42">
        <f t="shared" si="95"/>
        <v>4.5419948941836727</v>
      </c>
      <c r="J293" s="32">
        <v>3.9</v>
      </c>
      <c r="K293" s="56"/>
      <c r="L293" s="56"/>
      <c r="M293" s="22">
        <f t="shared" si="92"/>
        <v>-59.047171143200785</v>
      </c>
      <c r="N293" s="10">
        <f t="shared" si="93"/>
        <v>-0.5392435720840254</v>
      </c>
      <c r="O293" s="59"/>
      <c r="P293" s="59"/>
      <c r="Q293" s="89">
        <v>109.5</v>
      </c>
      <c r="R293" s="89"/>
      <c r="S293" s="5"/>
      <c r="T293" s="5"/>
      <c r="U293" s="5"/>
    </row>
    <row r="294" spans="1:21" x14ac:dyDescent="0.25">
      <c r="A294" s="8" t="s">
        <v>6</v>
      </c>
      <c r="B294" s="31">
        <v>0</v>
      </c>
      <c r="C294" s="5"/>
      <c r="D294" s="10">
        <v>0.84399999999999997</v>
      </c>
      <c r="E294" s="5"/>
      <c r="F294" s="5"/>
      <c r="G294" s="26">
        <f>(5.01*(B294^0.59)*Z$69)/(86.4*I$18)</f>
        <v>0</v>
      </c>
      <c r="H294" s="42">
        <f t="shared" si="94"/>
        <v>52.002173712036075</v>
      </c>
      <c r="I294" s="42">
        <f t="shared" si="95"/>
        <v>4.7175307657567123</v>
      </c>
      <c r="J294" s="32">
        <v>2.4</v>
      </c>
      <c r="K294" s="56"/>
      <c r="L294" s="56"/>
      <c r="M294" s="22">
        <f t="shared" si="92"/>
        <v>-65.747171143200788</v>
      </c>
      <c r="N294" s="10">
        <f t="shared" si="93"/>
        <v>-0.6231959350066425</v>
      </c>
      <c r="O294" s="59"/>
      <c r="P294" s="59"/>
      <c r="Q294" s="89">
        <v>105.5</v>
      </c>
      <c r="R294" s="89"/>
      <c r="S294" s="5"/>
      <c r="T294" s="5"/>
      <c r="U294" s="5"/>
    </row>
    <row r="295" spans="1:21" x14ac:dyDescent="0.25">
      <c r="A295" s="8" t="s">
        <v>7</v>
      </c>
      <c r="B295" s="31">
        <v>0</v>
      </c>
      <c r="C295" s="5"/>
      <c r="D295" s="10">
        <v>0.107</v>
      </c>
      <c r="E295" s="5"/>
      <c r="F295" s="5"/>
      <c r="G295" s="26">
        <f>(5.01*(B295^0.59)*Z$69)/(86.4*I$19)</f>
        <v>0</v>
      </c>
      <c r="H295" s="42">
        <f t="shared" si="94"/>
        <v>14.218217272456108</v>
      </c>
      <c r="I295" s="42">
        <f t="shared" si="95"/>
        <v>4.7328333917375263</v>
      </c>
      <c r="J295" s="32">
        <v>1.1000000000000001</v>
      </c>
      <c r="K295" s="56"/>
      <c r="L295" s="56"/>
      <c r="M295" s="22">
        <f t="shared" si="92"/>
        <v>-65.747171143200788</v>
      </c>
      <c r="N295" s="10">
        <f t="shared" si="93"/>
        <v>-0.63036597452733256</v>
      </c>
      <c r="O295" s="60"/>
      <c r="P295" s="59"/>
      <c r="Q295" s="89">
        <v>104.3</v>
      </c>
      <c r="R295" s="89"/>
      <c r="S295" s="5"/>
      <c r="T295" s="5"/>
      <c r="U295" s="5"/>
    </row>
    <row r="296" spans="1:21" x14ac:dyDescent="0.25">
      <c r="A296" s="8" t="s">
        <v>8</v>
      </c>
      <c r="B296" s="31">
        <v>1.3</v>
      </c>
      <c r="C296" s="5"/>
      <c r="D296" s="10">
        <v>0.47299999999999998</v>
      </c>
      <c r="E296" s="5"/>
      <c r="F296" s="5"/>
      <c r="G296" s="26">
        <f>(5.01*(B296^0.59)*Z$69)/(86.4*I$20)</f>
        <v>0.94036075051553059</v>
      </c>
      <c r="H296" s="42">
        <f t="shared" si="94"/>
        <v>14.247670360209588</v>
      </c>
      <c r="I296" s="42">
        <f t="shared" si="95"/>
        <v>4.7426374729762824</v>
      </c>
      <c r="J296" s="32">
        <v>1.1000000000000001</v>
      </c>
      <c r="K296" s="56"/>
      <c r="L296" s="56"/>
      <c r="M296" s="22">
        <f t="shared" si="92"/>
        <v>-64.447171143200791</v>
      </c>
      <c r="N296" s="10">
        <f t="shared" si="93"/>
        <v>-0.63494749894779101</v>
      </c>
      <c r="O296" s="59"/>
      <c r="P296" s="59"/>
      <c r="Q296" s="89">
        <v>101.5</v>
      </c>
      <c r="R296" s="89"/>
      <c r="S296" s="5"/>
      <c r="T296" s="5"/>
      <c r="U296" s="5"/>
    </row>
    <row r="297" spans="1:21" ht="18.75" x14ac:dyDescent="0.3">
      <c r="A297" s="8" t="s">
        <v>9</v>
      </c>
      <c r="B297" s="31">
        <v>0</v>
      </c>
      <c r="C297" s="5"/>
      <c r="D297" s="10">
        <v>0.58599999999999997</v>
      </c>
      <c r="E297" s="5"/>
      <c r="F297" s="5"/>
      <c r="G297" s="26">
        <f>(5.01*(B297^0.59)*Z$69)/(86.4*I$21)</f>
        <v>0</v>
      </c>
      <c r="H297" s="42">
        <f t="shared" si="94"/>
        <v>51.599016039903965</v>
      </c>
      <c r="I297" s="42">
        <f t="shared" si="95"/>
        <v>4.6809571268879564</v>
      </c>
      <c r="J297" s="32">
        <v>2.4</v>
      </c>
      <c r="K297" s="56"/>
      <c r="L297" s="56"/>
      <c r="M297" s="22">
        <f t="shared" si="92"/>
        <v>-65.747171143200788</v>
      </c>
      <c r="N297" s="10">
        <f t="shared" si="93"/>
        <v>-0.60596471099724225</v>
      </c>
      <c r="O297" s="61"/>
      <c r="P297" s="62"/>
      <c r="Q297" s="89">
        <v>108.5</v>
      </c>
      <c r="R297" s="89"/>
      <c r="S297" s="5"/>
      <c r="T297" s="5"/>
      <c r="U297" s="5"/>
    </row>
    <row r="298" spans="1:21" x14ac:dyDescent="0.25">
      <c r="A298" s="8" t="s">
        <v>10</v>
      </c>
      <c r="B298" s="31">
        <v>7.2</v>
      </c>
      <c r="C298" s="5"/>
      <c r="D298" s="10">
        <v>1.29</v>
      </c>
      <c r="E298" s="5"/>
      <c r="F298" s="5"/>
      <c r="G298" s="26">
        <f>(5.01*(B298^0.59)*Z$69)/(86.4*I$22)</f>
        <v>2.5816305337035534</v>
      </c>
      <c r="H298" s="42">
        <f t="shared" si="94"/>
        <v>222.71952389360698</v>
      </c>
      <c r="I298" s="42">
        <f t="shared" si="95"/>
        <v>4.5082688799064039</v>
      </c>
      <c r="J298" s="32">
        <v>3.9</v>
      </c>
      <c r="K298" s="56"/>
      <c r="L298" s="56"/>
      <c r="M298" s="22">
        <f t="shared" si="92"/>
        <v>-58.547171143200785</v>
      </c>
      <c r="N298" s="10">
        <f t="shared" si="93"/>
        <v>-0.52274259949286417</v>
      </c>
      <c r="O298" s="62"/>
      <c r="P298" s="59"/>
      <c r="Q298" s="89">
        <v>112</v>
      </c>
      <c r="R298" s="89"/>
      <c r="S298" s="5"/>
      <c r="T298" s="5"/>
      <c r="U298" s="5"/>
    </row>
    <row r="299" spans="1:21" x14ac:dyDescent="0.25">
      <c r="A299" s="8" t="s">
        <v>11</v>
      </c>
      <c r="B299" s="31">
        <v>15.3</v>
      </c>
      <c r="C299" s="5"/>
      <c r="D299" s="10">
        <v>2.46</v>
      </c>
      <c r="E299" s="5"/>
      <c r="F299" s="5"/>
      <c r="G299" s="26">
        <f>(5.01*(B299^0.59)*Z$69)/(86.4*I$23)</f>
        <v>3.8975834375945442</v>
      </c>
      <c r="H299" s="42">
        <f t="shared" si="94"/>
        <v>212.09453574530937</v>
      </c>
      <c r="I299" s="42">
        <f t="shared" si="95"/>
        <v>4.2931988106958263</v>
      </c>
      <c r="J299" s="32">
        <v>3.9</v>
      </c>
      <c r="K299" s="56"/>
      <c r="L299" s="56"/>
      <c r="M299" s="22">
        <f t="shared" si="92"/>
        <v>-50.447171143200791</v>
      </c>
      <c r="N299" s="10">
        <f t="shared" si="93"/>
        <v>-0.41452071604930807</v>
      </c>
      <c r="O299" s="22"/>
      <c r="P299" s="22"/>
      <c r="Q299" s="89">
        <v>121.7</v>
      </c>
      <c r="R299" s="89"/>
      <c r="S299" s="5"/>
      <c r="T299" s="5"/>
      <c r="U299" s="5"/>
    </row>
    <row r="300" spans="1:21" x14ac:dyDescent="0.25">
      <c r="A300" s="8" t="s">
        <v>12</v>
      </c>
      <c r="B300" s="11">
        <v>2001</v>
      </c>
      <c r="C300" s="11">
        <v>2001</v>
      </c>
      <c r="D300" s="11">
        <v>2001</v>
      </c>
      <c r="E300" s="11">
        <v>2001</v>
      </c>
      <c r="F300" s="11">
        <v>2001</v>
      </c>
      <c r="G300" s="11">
        <v>2001</v>
      </c>
      <c r="H300" s="11">
        <v>2001</v>
      </c>
      <c r="I300" s="11">
        <v>2001</v>
      </c>
      <c r="J300" s="47" t="s">
        <v>70</v>
      </c>
      <c r="K300" s="27"/>
      <c r="L300" s="27"/>
      <c r="M300" s="39" t="s">
        <v>60</v>
      </c>
      <c r="N300" s="39" t="s">
        <v>73</v>
      </c>
      <c r="O300" s="105" t="s">
        <v>57</v>
      </c>
      <c r="P300" s="105"/>
      <c r="Q300" s="10"/>
      <c r="R300" s="10"/>
      <c r="S300" s="5"/>
      <c r="T300" s="5"/>
      <c r="U300" s="5"/>
    </row>
    <row r="301" spans="1:21" x14ac:dyDescent="0.25">
      <c r="A301" s="8" t="s">
        <v>0</v>
      </c>
      <c r="B301" s="31">
        <v>384.7</v>
      </c>
      <c r="C301" s="5"/>
      <c r="D301" s="1">
        <v>22759</v>
      </c>
      <c r="E301" s="5"/>
      <c r="F301" s="5"/>
      <c r="G301" s="26">
        <f>(5.01*(B301^0.59)*Z$69)/(86.4*I$12)</f>
        <v>26.124595024258543</v>
      </c>
      <c r="H301" s="42">
        <f>L$30^(J301-(0.6458446*LN(P$34))-(9.53942*N301*(P$34/P$33))+(4.8904*N301))</f>
        <v>142.349692719247</v>
      </c>
      <c r="I301" s="42">
        <f>L$30^(K$28-(0.6458446*LN(P$34))-(9.53942*N301*(P$34/P$33))+(4.8904*N301))</f>
        <v>1.2947099006228855</v>
      </c>
      <c r="J301" s="32">
        <v>4.7</v>
      </c>
      <c r="K301" s="56"/>
      <c r="L301" s="56"/>
      <c r="M301" s="22">
        <f>(B301-(0.74*P$302))</f>
        <v>283.29397894213639</v>
      </c>
      <c r="N301" s="10">
        <f>M301/Q301</f>
        <v>2.2394780944042401</v>
      </c>
      <c r="O301" s="50" t="s">
        <v>58</v>
      </c>
      <c r="P301" s="22">
        <f>(B301+B302+B303+B304+B305+B306+B307+B308+B309+B310+B311+B312)/12</f>
        <v>97.816666666666649</v>
      </c>
      <c r="Q301" s="89">
        <v>126.5</v>
      </c>
      <c r="R301" s="89"/>
      <c r="S301" s="5"/>
      <c r="T301" s="5"/>
      <c r="U301" s="5"/>
    </row>
    <row r="302" spans="1:21" x14ac:dyDescent="0.25">
      <c r="A302" s="8" t="s">
        <v>1</v>
      </c>
      <c r="B302" s="31">
        <v>265.7</v>
      </c>
      <c r="C302" s="5"/>
      <c r="D302" s="1">
        <v>22906</v>
      </c>
      <c r="E302" s="5"/>
      <c r="F302" s="5"/>
      <c r="G302" s="26">
        <f>(5.01*(B302^0.59)*Z$69)/(86.4*J$13)</f>
        <v>22.448234475389363</v>
      </c>
      <c r="H302" s="42">
        <f>L$30^(J302-(0.6458446*LN(P$34))-(9.53942*N302*(P$34/P$33))+(4.8904*N302))</f>
        <v>204.84801817253256</v>
      </c>
      <c r="I302" s="42">
        <f>L$30^(K$28-(0.6458446*LN(P$34))-(9.53942*N302*(P$34/P$33))+(4.8904*N302))</f>
        <v>1.8631494890125244</v>
      </c>
      <c r="J302" s="32">
        <v>4.7</v>
      </c>
      <c r="K302" s="56"/>
      <c r="L302" s="56"/>
      <c r="M302" s="22">
        <f t="shared" ref="M302:M312" si="96">(B302-(0.74*P$302))</f>
        <v>164.29397894213636</v>
      </c>
      <c r="N302" s="10">
        <f t="shared" ref="N302:N312" si="97">M302/Q302</f>
        <v>1.4336298337010154</v>
      </c>
      <c r="O302" s="50" t="s">
        <v>66</v>
      </c>
      <c r="P302" s="22">
        <f>((((B301-P301)^2+(B302-P301)^2+(B303-P301)^2+(B304-P301)^2+(B305-P301)^2+(B306-P301)^2+(B307-P301)^2+(B308-P301)^2+(B309-P301)^2+(B310-P301)^2+(B311-P301)^2+(B312-P301)^2))/(12-1))^0.5</f>
        <v>137.0351635917076</v>
      </c>
      <c r="Q302" s="89">
        <v>114.6</v>
      </c>
      <c r="R302" s="89"/>
      <c r="S302" s="5"/>
      <c r="T302" s="5"/>
      <c r="U302" s="5"/>
    </row>
    <row r="303" spans="1:21" x14ac:dyDescent="0.25">
      <c r="A303" s="8" t="s">
        <v>2</v>
      </c>
      <c r="B303" s="31">
        <v>286.7</v>
      </c>
      <c r="C303" s="5"/>
      <c r="D303" s="1">
        <v>22189</v>
      </c>
      <c r="E303" s="5"/>
      <c r="F303" s="5"/>
      <c r="G303" s="26">
        <f>(5.01*(B303^0.59)*Z$69)/(86.4*I$14)</f>
        <v>21.963918108075941</v>
      </c>
      <c r="H303" s="42">
        <f>L$30^(J303-(0.6458446*LN(P$34))-(9.53942*N303*(P$34/P$33))+(4.8904*N303))</f>
        <v>206.02308499484039</v>
      </c>
      <c r="I303" s="42">
        <f>L$30^(K$28-(0.6458446*LN(P$34))-(9.53942*N303*(P$34/P$33))+(4.8904*N303))</f>
        <v>1.8738370473744224</v>
      </c>
      <c r="J303" s="32">
        <v>4.7</v>
      </c>
      <c r="K303" s="56"/>
      <c r="L303" s="58"/>
      <c r="M303" s="22">
        <f t="shared" si="96"/>
        <v>185.29397894213636</v>
      </c>
      <c r="N303" s="10">
        <f t="shared" si="97"/>
        <v>1.4209660961820272</v>
      </c>
      <c r="O303" s="22"/>
      <c r="P303" s="22"/>
      <c r="Q303" s="89">
        <v>130.4</v>
      </c>
      <c r="R303" s="89"/>
      <c r="S303" s="5"/>
      <c r="T303" s="5"/>
      <c r="U303" s="5"/>
    </row>
    <row r="304" spans="1:21" x14ac:dyDescent="0.25">
      <c r="A304" s="8" t="s">
        <v>3</v>
      </c>
      <c r="B304" s="31">
        <v>136.1</v>
      </c>
      <c r="C304" s="5"/>
      <c r="D304" s="1">
        <v>15543</v>
      </c>
      <c r="E304" s="5"/>
      <c r="F304" s="5"/>
      <c r="G304" s="26">
        <f>(5.01*(B304^0.59)*Z$69)/(86.4*I$15)</f>
        <v>14.62326027467754</v>
      </c>
      <c r="H304" s="42">
        <f>L$30^(J304-(0.6458446*LN(P$34))-(9.53942*N304*(P$34/P$33))+(4.8904*N304))</f>
        <v>346.32522634672551</v>
      </c>
      <c r="I304" s="42">
        <f>L$30^(K$28-(0.6458446*LN(P$34))-(9.53942*N304*(P$34/P$33))+(4.8904*N304))</f>
        <v>3.1499239009311943</v>
      </c>
      <c r="J304" s="32">
        <v>4.7</v>
      </c>
      <c r="K304" s="56"/>
      <c r="L304" s="56"/>
      <c r="M304" s="22">
        <f t="shared" si="96"/>
        <v>34.693978942136368</v>
      </c>
      <c r="N304" s="10">
        <f t="shared" si="97"/>
        <v>0.27104671048544038</v>
      </c>
      <c r="O304" s="22"/>
      <c r="P304" s="22"/>
      <c r="Q304" s="89">
        <v>128</v>
      </c>
      <c r="R304" s="89"/>
      <c r="S304" s="5"/>
      <c r="T304" s="5"/>
      <c r="U304" s="5"/>
    </row>
    <row r="305" spans="1:21" x14ac:dyDescent="0.25">
      <c r="A305" s="8" t="s">
        <v>4</v>
      </c>
      <c r="B305" s="31">
        <v>34.299999999999997</v>
      </c>
      <c r="C305" s="5"/>
      <c r="D305" s="1">
        <v>7255</v>
      </c>
      <c r="E305" s="5"/>
      <c r="F305" s="5"/>
      <c r="G305" s="26">
        <f>(5.01*(B305^0.59)*Z$69)/(86.4*I$16)</f>
        <v>6.2755386370340327</v>
      </c>
      <c r="H305" s="42">
        <f t="shared" ref="H305:H312" si="98">L$30^(J305-(0.6458446*LN(P$34))-(9.53942*N305*(P$34/P$33))+(4.8904*N305))</f>
        <v>500.21145735376382</v>
      </c>
      <c r="I305" s="42">
        <f t="shared" ref="I305:I312" si="99">L$30^(K$28-(0.6458446*LN(P$34))-(9.53942*N305*(P$34/P$33))+(4.8904*N305))</f>
        <v>4.5495618140758785</v>
      </c>
      <c r="J305" s="32">
        <v>4.7</v>
      </c>
      <c r="K305" s="56"/>
      <c r="L305" s="56"/>
      <c r="M305" s="22">
        <f t="shared" si="96"/>
        <v>-67.106021057863629</v>
      </c>
      <c r="N305" s="10">
        <f t="shared" si="97"/>
        <v>-0.54292897296006171</v>
      </c>
      <c r="O305" s="59"/>
      <c r="P305" s="59"/>
      <c r="Q305" s="89">
        <v>123.6</v>
      </c>
      <c r="R305" s="89"/>
      <c r="S305" s="5"/>
      <c r="T305" s="5"/>
      <c r="U305" s="5"/>
    </row>
    <row r="306" spans="1:21" x14ac:dyDescent="0.25">
      <c r="A306" s="8" t="s">
        <v>5</v>
      </c>
      <c r="B306" s="31">
        <v>21.6</v>
      </c>
      <c r="C306" s="5"/>
      <c r="D306" s="1">
        <v>4046</v>
      </c>
      <c r="E306" s="5"/>
      <c r="F306" s="5"/>
      <c r="G306" s="26">
        <f>(5.01*(B306^0.59)*Z$69)/(86.4*I$17)</f>
        <v>4.9362327518599729</v>
      </c>
      <c r="H306" s="42">
        <f t="shared" si="98"/>
        <v>244.44595551190764</v>
      </c>
      <c r="I306" s="42">
        <f t="shared" si="99"/>
        <v>4.9480533847573884</v>
      </c>
      <c r="J306" s="32">
        <v>3.9</v>
      </c>
      <c r="K306" s="56"/>
      <c r="L306" s="56"/>
      <c r="M306" s="22">
        <f t="shared" si="96"/>
        <v>-79.806021057863632</v>
      </c>
      <c r="N306" s="10">
        <f t="shared" si="97"/>
        <v>-0.72882211011747611</v>
      </c>
      <c r="O306" s="59"/>
      <c r="P306" s="59"/>
      <c r="Q306" s="89">
        <v>109.5</v>
      </c>
      <c r="R306" s="89"/>
      <c r="S306" s="5"/>
      <c r="T306" s="5"/>
      <c r="U306" s="5"/>
    </row>
    <row r="307" spans="1:21" x14ac:dyDescent="0.25">
      <c r="A307" s="8" t="s">
        <v>6</v>
      </c>
      <c r="B307" s="31">
        <v>11.5</v>
      </c>
      <c r="C307" s="5"/>
      <c r="D307" s="10">
        <v>2.6</v>
      </c>
      <c r="E307" s="5"/>
      <c r="F307" s="5"/>
      <c r="G307" s="26">
        <f>(5.01*(B307^0.59)*Z$69)/(86.4*I$18)</f>
        <v>3.2933599722917273</v>
      </c>
      <c r="H307" s="42">
        <f t="shared" si="98"/>
        <v>57.668803350493448</v>
      </c>
      <c r="I307" s="42">
        <f t="shared" si="99"/>
        <v>5.2315958086067225</v>
      </c>
      <c r="J307" s="32">
        <v>2.4</v>
      </c>
      <c r="K307" s="56"/>
      <c r="L307" s="56"/>
      <c r="M307" s="22">
        <f t="shared" si="96"/>
        <v>-89.906021057863626</v>
      </c>
      <c r="N307" s="10">
        <f t="shared" si="97"/>
        <v>-0.85218977306031873</v>
      </c>
      <c r="O307" s="59"/>
      <c r="P307" s="59"/>
      <c r="Q307" s="89">
        <v>105.5</v>
      </c>
      <c r="R307" s="89"/>
      <c r="S307" s="5"/>
      <c r="T307" s="5"/>
      <c r="U307" s="5"/>
    </row>
    <row r="308" spans="1:21" x14ac:dyDescent="0.25">
      <c r="A308" s="8" t="s">
        <v>7</v>
      </c>
      <c r="B308" s="31">
        <v>11.4</v>
      </c>
      <c r="C308" s="5"/>
      <c r="D308" s="1">
        <v>2267</v>
      </c>
      <c r="E308" s="5"/>
      <c r="F308" s="5"/>
      <c r="G308" s="26">
        <f>(5.01*(B308^0.59)*Z$69)/(86.4*I$19)</f>
        <v>3.2764333603783986</v>
      </c>
      <c r="H308" s="42">
        <f t="shared" si="98"/>
        <v>15.793175880397893</v>
      </c>
      <c r="I308" s="42">
        <f t="shared" si="99"/>
        <v>5.2570915703427614</v>
      </c>
      <c r="J308" s="32">
        <v>1.1000000000000001</v>
      </c>
      <c r="K308" s="56"/>
      <c r="L308" s="56"/>
      <c r="M308" s="22">
        <f t="shared" si="96"/>
        <v>-90.00602105786362</v>
      </c>
      <c r="N308" s="10">
        <f t="shared" si="97"/>
        <v>-0.86295322203129077</v>
      </c>
      <c r="O308" s="60"/>
      <c r="P308" s="59"/>
      <c r="Q308" s="89">
        <v>104.3</v>
      </c>
      <c r="R308" s="89"/>
      <c r="S308" s="5"/>
      <c r="T308" s="5"/>
      <c r="U308" s="5"/>
    </row>
    <row r="309" spans="1:21" x14ac:dyDescent="0.25">
      <c r="A309" s="8" t="s">
        <v>8</v>
      </c>
      <c r="B309" s="31">
        <v>11.4</v>
      </c>
      <c r="C309" s="5"/>
      <c r="D309" s="1">
        <v>2253</v>
      </c>
      <c r="E309" s="5"/>
      <c r="F309" s="5"/>
      <c r="G309" s="26">
        <f>(5.01*(B309^0.59)*Z$69)/(86.4*I$20)</f>
        <v>3.3856478057243455</v>
      </c>
      <c r="H309" s="42">
        <f t="shared" si="98"/>
        <v>15.963906693115074</v>
      </c>
      <c r="I309" s="42">
        <f t="shared" si="99"/>
        <v>5.3139229209925869</v>
      </c>
      <c r="J309" s="32">
        <v>1.1000000000000001</v>
      </c>
      <c r="K309" s="56"/>
      <c r="L309" s="56"/>
      <c r="M309" s="22">
        <f t="shared" si="96"/>
        <v>-90.00602105786362</v>
      </c>
      <c r="N309" s="10">
        <f t="shared" si="97"/>
        <v>-0.88675882815629181</v>
      </c>
      <c r="O309" s="59"/>
      <c r="P309" s="59"/>
      <c r="Q309" s="89">
        <v>101.5</v>
      </c>
      <c r="R309" s="89"/>
      <c r="S309" s="5"/>
      <c r="T309" s="5"/>
      <c r="U309" s="5"/>
    </row>
    <row r="310" spans="1:21" ht="18.75" x14ac:dyDescent="0.3">
      <c r="A310" s="8" t="s">
        <v>9</v>
      </c>
      <c r="B310" s="31">
        <v>3.1</v>
      </c>
      <c r="C310" s="5"/>
      <c r="D310" s="1">
        <v>1333</v>
      </c>
      <c r="E310" s="5"/>
      <c r="F310" s="5"/>
      <c r="G310" s="26">
        <f>(5.01*(B310^0.59)*Z$69)/(86.4*I$21)</f>
        <v>1.5196055684204184</v>
      </c>
      <c r="H310" s="42">
        <f t="shared" si="98"/>
        <v>59.08883589761318</v>
      </c>
      <c r="I310" s="42">
        <f t="shared" si="99"/>
        <v>5.3604182548857837</v>
      </c>
      <c r="J310" s="32">
        <v>2.4</v>
      </c>
      <c r="K310" s="56"/>
      <c r="L310" s="56"/>
      <c r="M310" s="22">
        <f t="shared" si="96"/>
        <v>-98.306021057863632</v>
      </c>
      <c r="N310" s="10">
        <f t="shared" si="97"/>
        <v>-0.90604627703100116</v>
      </c>
      <c r="O310" s="61"/>
      <c r="P310" s="62"/>
      <c r="Q310" s="89">
        <v>108.5</v>
      </c>
      <c r="R310" s="89"/>
      <c r="S310" s="5"/>
      <c r="T310" s="5"/>
      <c r="U310" s="5"/>
    </row>
    <row r="311" spans="1:21" x14ac:dyDescent="0.25">
      <c r="A311" s="8" t="s">
        <v>10</v>
      </c>
      <c r="B311" s="31">
        <v>3.8</v>
      </c>
      <c r="C311" s="5"/>
      <c r="D311" s="1">
        <v>1049</v>
      </c>
      <c r="E311" s="5"/>
      <c r="F311" s="5"/>
      <c r="G311" s="26">
        <f>(5.01*(B311^0.59)*Z$69)/(86.4*I$22)</f>
        <v>1.7706806366314443</v>
      </c>
      <c r="H311" s="42">
        <f t="shared" si="98"/>
        <v>260.71564414655609</v>
      </c>
      <c r="I311" s="42">
        <f t="shared" si="99"/>
        <v>5.2773829813507822</v>
      </c>
      <c r="J311" s="32">
        <v>3.9</v>
      </c>
      <c r="K311" s="56"/>
      <c r="L311" s="56"/>
      <c r="M311" s="22">
        <f t="shared" si="96"/>
        <v>-97.606021057863629</v>
      </c>
      <c r="N311" s="10">
        <f t="shared" si="97"/>
        <v>-0.87148233087378235</v>
      </c>
      <c r="O311" s="10"/>
      <c r="P311" s="22"/>
      <c r="Q311" s="89">
        <v>112</v>
      </c>
      <c r="R311" s="89"/>
      <c r="S311" s="5"/>
      <c r="T311" s="5"/>
      <c r="U311" s="5"/>
    </row>
    <row r="312" spans="1:21" x14ac:dyDescent="0.25">
      <c r="A312" s="8" t="s">
        <v>11</v>
      </c>
      <c r="B312" s="31">
        <v>3.5</v>
      </c>
      <c r="C312" s="5"/>
      <c r="D312" s="1">
        <v>1034</v>
      </c>
      <c r="E312" s="5"/>
      <c r="F312" s="5"/>
      <c r="G312" s="26">
        <f>(5.01*(B312^0.59)*Z$69)/(86.4*I$23)</f>
        <v>1.6324038978598614</v>
      </c>
      <c r="H312" s="42">
        <f t="shared" si="98"/>
        <v>252.94448152956451</v>
      </c>
      <c r="I312" s="42">
        <f t="shared" si="99"/>
        <v>5.1200797958266859</v>
      </c>
      <c r="J312" s="32">
        <v>3.9</v>
      </c>
      <c r="K312" s="56"/>
      <c r="L312" s="56"/>
      <c r="M312" s="22">
        <f t="shared" si="96"/>
        <v>-97.906021057863626</v>
      </c>
      <c r="N312" s="10">
        <f t="shared" si="97"/>
        <v>-0.80448661510159103</v>
      </c>
      <c r="O312" s="22"/>
      <c r="P312" s="22"/>
      <c r="Q312" s="89">
        <v>121.7</v>
      </c>
      <c r="R312" s="89"/>
      <c r="S312" s="5"/>
      <c r="T312" s="5"/>
      <c r="U312" s="5"/>
    </row>
    <row r="313" spans="1:21" x14ac:dyDescent="0.25">
      <c r="A313" s="8" t="s">
        <v>12</v>
      </c>
      <c r="B313" s="11">
        <v>2002</v>
      </c>
      <c r="C313" s="11">
        <v>2002</v>
      </c>
      <c r="D313" s="11">
        <v>2002</v>
      </c>
      <c r="E313" s="11">
        <v>2002</v>
      </c>
      <c r="F313" s="11">
        <v>2002</v>
      </c>
      <c r="G313" s="11">
        <v>2002</v>
      </c>
      <c r="H313" s="11">
        <v>2002</v>
      </c>
      <c r="I313" s="11">
        <v>2002</v>
      </c>
      <c r="J313" s="47" t="s">
        <v>70</v>
      </c>
      <c r="K313" s="27"/>
      <c r="L313" s="27"/>
      <c r="M313" s="39" t="s">
        <v>60</v>
      </c>
      <c r="N313" s="39" t="s">
        <v>73</v>
      </c>
      <c r="O313" s="105" t="s">
        <v>57</v>
      </c>
      <c r="P313" s="105"/>
      <c r="Q313" s="10"/>
      <c r="R313" s="10"/>
      <c r="S313" s="5"/>
      <c r="T313" s="5"/>
      <c r="U313" s="5"/>
    </row>
    <row r="314" spans="1:21" x14ac:dyDescent="0.25">
      <c r="A314" s="8" t="s">
        <v>0</v>
      </c>
      <c r="B314" s="10">
        <v>62.7</v>
      </c>
      <c r="C314" s="5"/>
      <c r="D314" s="1">
        <v>6356</v>
      </c>
      <c r="E314" s="5"/>
      <c r="F314" s="5"/>
      <c r="G314" s="26">
        <f>(5.01*(B314^0.59)*Z$69)/(86.4*I$12)</f>
        <v>8.9580880330769048</v>
      </c>
      <c r="H314" s="42">
        <f>L$30^(J314-(0.6458446*LN(P$34))-(9.53942*N314*(P$34/P$33))+(4.8904*N314))</f>
        <v>410.72537700635428</v>
      </c>
      <c r="I314" s="42">
        <f>L$30^(K$28-(0.6458446*LN(P$34))-(9.53942*N314*(P$34/P$33))+(4.8904*N314))</f>
        <v>3.7356611165715181</v>
      </c>
      <c r="J314" s="32">
        <v>4.7</v>
      </c>
      <c r="K314" s="56"/>
      <c r="L314" s="56"/>
      <c r="M314" s="22">
        <f>(B314-(0.74*P$315))</f>
        <v>-13.477299248052063</v>
      </c>
      <c r="N314" s="10">
        <f>M314/Q314</f>
        <v>-0.10653991500436413</v>
      </c>
      <c r="O314" s="50" t="s">
        <v>58</v>
      </c>
      <c r="P314" s="22">
        <f>(B314+B315+B316+B317+B318+B319+B320+B321+B322+B323+B324+B325)/12</f>
        <v>73.899999999999991</v>
      </c>
      <c r="Q314" s="89">
        <v>126.5</v>
      </c>
      <c r="R314" s="89"/>
      <c r="S314" s="5"/>
      <c r="T314" s="5"/>
      <c r="U314" s="5"/>
    </row>
    <row r="315" spans="1:21" x14ac:dyDescent="0.25">
      <c r="A315" s="8" t="s">
        <v>1</v>
      </c>
      <c r="B315" s="10">
        <v>295.60000000000002</v>
      </c>
      <c r="C315" s="5"/>
      <c r="D315" s="1">
        <v>19803</v>
      </c>
      <c r="E315" s="5"/>
      <c r="F315" s="5"/>
      <c r="G315" s="26">
        <f>(5.01*(B315^0.59)*Z$69)/(86.4*J$13)</f>
        <v>23.905992912834058</v>
      </c>
      <c r="H315" s="42">
        <f>L$30^(J315-(0.6458446*LN(P$34))-(9.53942*N315*(P$34/P$33))+(4.8904*N315))</f>
        <v>164.84216333114722</v>
      </c>
      <c r="I315" s="42">
        <f>L$30^(K$28-(0.6458446*LN(P$34))-(9.53942*N315*(P$34/P$33))+(4.8904*N315))</f>
        <v>1.4992851535398808</v>
      </c>
      <c r="J315" s="32">
        <v>4.7</v>
      </c>
      <c r="K315" s="56"/>
      <c r="L315" s="56"/>
      <c r="M315" s="22">
        <f t="shared" ref="M315:M325" si="100">(B315-(0.74*P$315))</f>
        <v>219.42270075194796</v>
      </c>
      <c r="N315" s="10">
        <f t="shared" ref="N315:N325" si="101">M315/Q315</f>
        <v>1.914683252634799</v>
      </c>
      <c r="O315" s="50" t="s">
        <v>66</v>
      </c>
      <c r="P315" s="22">
        <f>((((B314-P314)^2+(B315-P314)^2+(B316-P314)^2+(B317-P314)^2+(B318-P314)^2+(B319-P314)^2+(B320-P314)^2+(B321-P314)^2+(B322-P314)^2+(B323-P314)^2+(B324-P314)^2+(B325-P314)^2))/(12-1))^0.5</f>
        <v>102.94229628115144</v>
      </c>
      <c r="Q315" s="89">
        <v>114.6</v>
      </c>
      <c r="R315" s="89"/>
      <c r="S315" s="5"/>
      <c r="T315" s="5"/>
      <c r="U315" s="5"/>
    </row>
    <row r="316" spans="1:21" x14ac:dyDescent="0.25">
      <c r="A316" s="8" t="s">
        <v>2</v>
      </c>
      <c r="B316" s="10">
        <v>223.7</v>
      </c>
      <c r="C316" s="5"/>
      <c r="D316" s="10">
        <v>19.82</v>
      </c>
      <c r="E316" s="5"/>
      <c r="F316" s="5"/>
      <c r="G316" s="26">
        <f>(5.01*(B316^0.59)*Z$69)/(86.4*I$14)</f>
        <v>18.972755391687919</v>
      </c>
      <c r="H316" s="42">
        <f>L$30^(J316-(0.6458446*LN(P$34))-(9.53942*N316*(P$34/P$33))+(4.8904*N316))</f>
        <v>234.81996817424235</v>
      </c>
      <c r="I316" s="42">
        <f>L$30^(K$28-(0.6458446*LN(P$34))-(9.53942*N316*(P$34/P$33))+(4.8904*N316))</f>
        <v>2.1357526795562629</v>
      </c>
      <c r="J316" s="32">
        <v>4.7</v>
      </c>
      <c r="K316" s="56"/>
      <c r="L316" s="58"/>
      <c r="M316" s="22">
        <f t="shared" si="100"/>
        <v>147.52270075194792</v>
      </c>
      <c r="N316" s="10">
        <f t="shared" si="101"/>
        <v>1.1313090548462263</v>
      </c>
      <c r="O316" s="22"/>
      <c r="P316" s="22"/>
      <c r="Q316" s="89">
        <v>130.4</v>
      </c>
      <c r="R316" s="89"/>
      <c r="S316" s="5"/>
      <c r="T316" s="5"/>
      <c r="U316" s="5"/>
    </row>
    <row r="317" spans="1:21" x14ac:dyDescent="0.25">
      <c r="A317" s="8" t="s">
        <v>3</v>
      </c>
      <c r="B317" s="10">
        <v>191</v>
      </c>
      <c r="C317" s="5"/>
      <c r="D317" s="1">
        <v>17556</v>
      </c>
      <c r="E317" s="5"/>
      <c r="F317" s="5"/>
      <c r="G317" s="26">
        <f>(5.01*(B317^0.59)*Z$69)/(86.4*I$15)</f>
        <v>17.859841597966003</v>
      </c>
      <c r="H317" s="42">
        <f>L$30^(J317-(0.6458446*LN(P$34))-(9.53942*N317*(P$34/P$33))+(4.8904*N317))</f>
        <v>261.02784092689308</v>
      </c>
      <c r="I317" s="42">
        <f>L$30^(K$28-(0.6458446*LN(P$34))-(9.53942*N317*(P$34/P$33))+(4.8904*N317))</f>
        <v>2.3741205444876212</v>
      </c>
      <c r="J317" s="32">
        <v>4.7</v>
      </c>
      <c r="K317" s="56"/>
      <c r="L317" s="56"/>
      <c r="M317" s="22">
        <f t="shared" si="100"/>
        <v>114.82270075194793</v>
      </c>
      <c r="N317" s="10">
        <f t="shared" si="101"/>
        <v>0.89705234962459324</v>
      </c>
      <c r="O317" s="22"/>
      <c r="P317" s="22"/>
      <c r="Q317" s="89">
        <v>128</v>
      </c>
      <c r="R317" s="89"/>
      <c r="S317" s="5"/>
      <c r="T317" s="5"/>
      <c r="U317" s="5"/>
    </row>
    <row r="318" spans="1:21" x14ac:dyDescent="0.25">
      <c r="A318" s="8" t="s">
        <v>4</v>
      </c>
      <c r="B318" s="10">
        <v>36</v>
      </c>
      <c r="C318" s="5"/>
      <c r="D318" s="1">
        <v>8235</v>
      </c>
      <c r="E318" s="5"/>
      <c r="F318" s="5"/>
      <c r="G318" s="26">
        <f>(5.01*(B318^0.59)*Z$69)/(86.4*I$16)</f>
        <v>6.4572254887595193</v>
      </c>
      <c r="H318" s="42">
        <f t="shared" ref="H318:H325" si="102">L$30^(J318-(0.6458446*LN(P$34))-(9.53942*N318*(P$34/P$33))+(4.8904*N318))</f>
        <v>453.33188043806206</v>
      </c>
      <c r="I318" s="42">
        <f t="shared" ref="I318:I325" si="103">L$30^(K$28-(0.6458446*LN(P$34))-(9.53942*N318*(P$34/P$33))+(4.8904*N318))</f>
        <v>4.1231790716172787</v>
      </c>
      <c r="J318" s="32">
        <v>4.7</v>
      </c>
      <c r="K318" s="56"/>
      <c r="L318" s="56"/>
      <c r="M318" s="22">
        <f t="shared" si="100"/>
        <v>-40.177299248052066</v>
      </c>
      <c r="N318" s="10">
        <f t="shared" si="101"/>
        <v>-0.325059055404952</v>
      </c>
      <c r="O318" s="59"/>
      <c r="P318" s="59"/>
      <c r="Q318" s="89">
        <v>123.6</v>
      </c>
      <c r="R318" s="89"/>
      <c r="S318" s="5"/>
      <c r="T318" s="5"/>
      <c r="U318" s="5"/>
    </row>
    <row r="319" spans="1:21" x14ac:dyDescent="0.25">
      <c r="A319" s="8" t="s">
        <v>5</v>
      </c>
      <c r="B319" s="10">
        <v>6.5</v>
      </c>
      <c r="C319" s="5"/>
      <c r="D319" s="1">
        <v>2507</v>
      </c>
      <c r="E319" s="5"/>
      <c r="F319" s="5"/>
      <c r="G319" s="26">
        <f>(5.01*(B319^0.59)*Z$69)/(86.4*I$17)</f>
        <v>2.4304505899811604</v>
      </c>
      <c r="H319" s="42">
        <f t="shared" si="102"/>
        <v>234.44344917788388</v>
      </c>
      <c r="I319" s="42">
        <f t="shared" si="103"/>
        <v>4.7455835373079687</v>
      </c>
      <c r="J319" s="32">
        <v>3.9</v>
      </c>
      <c r="K319" s="56"/>
      <c r="L319" s="56"/>
      <c r="M319" s="22">
        <f t="shared" si="100"/>
        <v>-69.677299248052066</v>
      </c>
      <c r="N319" s="10">
        <f t="shared" si="101"/>
        <v>-0.63632236756211935</v>
      </c>
      <c r="O319" s="59"/>
      <c r="P319" s="59"/>
      <c r="Q319" s="89">
        <v>109.5</v>
      </c>
      <c r="R319" s="89"/>
      <c r="S319" s="5"/>
      <c r="T319" s="5"/>
      <c r="U319" s="5"/>
    </row>
    <row r="320" spans="1:21" x14ac:dyDescent="0.25">
      <c r="A320" s="8" t="s">
        <v>6</v>
      </c>
      <c r="B320" s="10">
        <v>6.3</v>
      </c>
      <c r="C320" s="5"/>
      <c r="D320" s="1">
        <v>1472</v>
      </c>
      <c r="E320" s="5"/>
      <c r="F320" s="5"/>
      <c r="G320" s="26">
        <f>(5.01*(B320^0.59)*Z$69)/(86.4*I$18)</f>
        <v>2.3090769239442173</v>
      </c>
      <c r="H320" s="42">
        <f t="shared" si="102"/>
        <v>52.929866357678819</v>
      </c>
      <c r="I320" s="42">
        <f t="shared" si="103"/>
        <v>4.8016891438510632</v>
      </c>
      <c r="J320" s="32">
        <v>2.4</v>
      </c>
      <c r="K320" s="56"/>
      <c r="L320" s="56"/>
      <c r="M320" s="22">
        <f t="shared" si="100"/>
        <v>-69.877299248052068</v>
      </c>
      <c r="N320" s="10">
        <f t="shared" si="101"/>
        <v>-0.66234406870191531</v>
      </c>
      <c r="O320" s="59"/>
      <c r="P320" s="59"/>
      <c r="Q320" s="89">
        <v>105.5</v>
      </c>
      <c r="R320" s="89"/>
      <c r="S320" s="5"/>
      <c r="T320" s="5"/>
      <c r="U320" s="5"/>
    </row>
    <row r="321" spans="1:21" x14ac:dyDescent="0.25">
      <c r="A321" s="8" t="s">
        <v>7</v>
      </c>
      <c r="B321" s="10">
        <v>0.3</v>
      </c>
      <c r="C321" s="5"/>
      <c r="D321" s="10">
        <v>0.76200000000000001</v>
      </c>
      <c r="E321" s="5"/>
      <c r="F321" s="5"/>
      <c r="G321" s="26">
        <f>(5.01*(B321^0.59)*Z$69)/(86.4*I$19)</f>
        <v>0.3831148774666619</v>
      </c>
      <c r="H321" s="42">
        <f t="shared" si="102"/>
        <v>14.855838634415157</v>
      </c>
      <c r="I321" s="42">
        <f t="shared" si="103"/>
        <v>4.9450791054818897</v>
      </c>
      <c r="J321" s="32">
        <v>1.1000000000000001</v>
      </c>
      <c r="K321" s="56"/>
      <c r="L321" s="56"/>
      <c r="M321" s="22">
        <f t="shared" si="100"/>
        <v>-75.877299248052068</v>
      </c>
      <c r="N321" s="10">
        <f t="shared" si="101"/>
        <v>-0.72749088444920484</v>
      </c>
      <c r="O321" s="60"/>
      <c r="P321" s="59"/>
      <c r="Q321" s="89">
        <v>104.3</v>
      </c>
      <c r="R321" s="89"/>
      <c r="S321" s="5"/>
      <c r="T321" s="5"/>
      <c r="U321" s="5"/>
    </row>
    <row r="322" spans="1:21" x14ac:dyDescent="0.25">
      <c r="A322" s="8" t="s">
        <v>8</v>
      </c>
      <c r="B322" s="10">
        <v>3.3</v>
      </c>
      <c r="C322" s="5"/>
      <c r="D322" s="10">
        <v>0.83399999999999996</v>
      </c>
      <c r="E322" s="5"/>
      <c r="F322" s="5"/>
      <c r="G322" s="26">
        <f>(5.01*(B322^0.59)*Z$69)/(86.4*I$20)</f>
        <v>1.629262796073923</v>
      </c>
      <c r="H322" s="42">
        <f t="shared" si="102"/>
        <v>14.792310671481635</v>
      </c>
      <c r="I322" s="42">
        <f t="shared" si="103"/>
        <v>4.9239324836150749</v>
      </c>
      <c r="J322" s="32">
        <v>1.1000000000000001</v>
      </c>
      <c r="K322" s="56"/>
      <c r="L322" s="56"/>
      <c r="M322" s="22">
        <f t="shared" si="100"/>
        <v>-72.877299248052068</v>
      </c>
      <c r="N322" s="10">
        <f t="shared" si="101"/>
        <v>-0.71800294825667066</v>
      </c>
      <c r="O322" s="59"/>
      <c r="P322" s="59"/>
      <c r="Q322" s="89">
        <v>101.5</v>
      </c>
      <c r="R322" s="89"/>
      <c r="S322" s="5"/>
      <c r="T322" s="5"/>
      <c r="U322" s="5"/>
    </row>
    <row r="323" spans="1:21" ht="18.75" x14ac:dyDescent="0.3">
      <c r="A323" s="8" t="s">
        <v>9</v>
      </c>
      <c r="B323" s="10">
        <v>5.9</v>
      </c>
      <c r="C323" s="5"/>
      <c r="D323" s="1">
        <v>1263</v>
      </c>
      <c r="E323" s="5"/>
      <c r="F323" s="5"/>
      <c r="G323" s="26">
        <f>(5.01*(B323^0.59)*Z$69)/(86.4*I$21)</f>
        <v>2.221417371928351</v>
      </c>
      <c r="H323" s="42">
        <f t="shared" si="102"/>
        <v>52.581329095198278</v>
      </c>
      <c r="I323" s="42">
        <f t="shared" si="103"/>
        <v>4.7700705567537351</v>
      </c>
      <c r="J323" s="32">
        <v>2.4</v>
      </c>
      <c r="K323" s="56"/>
      <c r="L323" s="56"/>
      <c r="M323" s="22">
        <f t="shared" si="100"/>
        <v>-70.27729924805206</v>
      </c>
      <c r="N323" s="10">
        <f t="shared" si="101"/>
        <v>-0.64771704376084849</v>
      </c>
      <c r="O323" s="61"/>
      <c r="P323" s="62"/>
      <c r="Q323" s="89">
        <v>108.5</v>
      </c>
      <c r="R323" s="89"/>
      <c r="S323" s="5"/>
      <c r="T323" s="5"/>
      <c r="U323" s="5"/>
    </row>
    <row r="324" spans="1:21" x14ac:dyDescent="0.25">
      <c r="A324" s="8" t="s">
        <v>10</v>
      </c>
      <c r="B324" s="10">
        <v>2.2000000000000002</v>
      </c>
      <c r="C324" s="5"/>
      <c r="D324" s="10">
        <v>0.98399999999999999</v>
      </c>
      <c r="E324" s="5"/>
      <c r="F324" s="5"/>
      <c r="G324" s="26">
        <f>(5.01*(B324^0.59)*Z$69)/(86.4*I$22)</f>
        <v>1.2826179034881051</v>
      </c>
      <c r="H324" s="42">
        <f t="shared" si="102"/>
        <v>237.01894638794766</v>
      </c>
      <c r="I324" s="42">
        <f t="shared" si="103"/>
        <v>4.7977165237630057</v>
      </c>
      <c r="J324" s="32">
        <v>3.9</v>
      </c>
      <c r="K324" s="56"/>
      <c r="L324" s="56"/>
      <c r="M324" s="22">
        <f t="shared" si="100"/>
        <v>-73.977299248052063</v>
      </c>
      <c r="N324" s="10">
        <f t="shared" si="101"/>
        <v>-0.66051160042903623</v>
      </c>
      <c r="O324" s="10"/>
      <c r="P324" s="22"/>
      <c r="Q324" s="89">
        <v>112</v>
      </c>
      <c r="R324" s="89"/>
      <c r="S324" s="5"/>
      <c r="T324" s="5"/>
      <c r="U324" s="5"/>
    </row>
    <row r="325" spans="1:21" x14ac:dyDescent="0.25">
      <c r="A325" s="8" t="s">
        <v>11</v>
      </c>
      <c r="B325" s="10">
        <v>53.3</v>
      </c>
      <c r="C325" s="5"/>
      <c r="D325" s="1">
        <v>5676</v>
      </c>
      <c r="E325" s="5"/>
      <c r="F325" s="5"/>
      <c r="G325" s="26">
        <f>(5.01*(B325^0.59)*Z$69)/(86.4*I$23)</f>
        <v>8.1394775616157364</v>
      </c>
      <c r="H325" s="42">
        <f t="shared" si="102"/>
        <v>191.46590862166909</v>
      </c>
      <c r="I325" s="42">
        <f t="shared" si="103"/>
        <v>3.875635967210552</v>
      </c>
      <c r="J325" s="32">
        <v>3.9</v>
      </c>
      <c r="K325" s="56"/>
      <c r="L325" s="56"/>
      <c r="M325" s="22">
        <f t="shared" si="100"/>
        <v>-22.877299248052068</v>
      </c>
      <c r="N325" s="10">
        <f t="shared" si="101"/>
        <v>-0.18798109488949932</v>
      </c>
      <c r="O325" s="22"/>
      <c r="P325" s="22"/>
      <c r="Q325" s="89">
        <v>121.7</v>
      </c>
      <c r="R325" s="89"/>
      <c r="S325" s="5"/>
      <c r="T325" s="5"/>
      <c r="U325" s="5"/>
    </row>
    <row r="326" spans="1:21" x14ac:dyDescent="0.25">
      <c r="A326" s="8" t="s">
        <v>12</v>
      </c>
      <c r="B326" s="11">
        <v>2003</v>
      </c>
      <c r="C326" s="11">
        <v>2003</v>
      </c>
      <c r="D326" s="11">
        <v>2003</v>
      </c>
      <c r="E326" s="11">
        <v>2003</v>
      </c>
      <c r="F326" s="11">
        <v>2003</v>
      </c>
      <c r="G326" s="11">
        <v>2003</v>
      </c>
      <c r="H326" s="11">
        <v>2003</v>
      </c>
      <c r="I326" s="11">
        <v>2003</v>
      </c>
      <c r="J326" s="47" t="s">
        <v>70</v>
      </c>
      <c r="K326" s="27"/>
      <c r="L326" s="27"/>
      <c r="M326" s="39" t="s">
        <v>60</v>
      </c>
      <c r="N326" s="39" t="s">
        <v>73</v>
      </c>
      <c r="O326" s="105" t="s">
        <v>57</v>
      </c>
      <c r="P326" s="105"/>
      <c r="Q326" s="10"/>
      <c r="R326" s="10"/>
      <c r="S326" s="5"/>
      <c r="T326" s="5"/>
      <c r="U326" s="5"/>
    </row>
    <row r="327" spans="1:21" x14ac:dyDescent="0.25">
      <c r="A327" s="8" t="s">
        <v>0</v>
      </c>
      <c r="B327" s="10">
        <v>96.2</v>
      </c>
      <c r="C327" s="5"/>
      <c r="D327" s="1">
        <v>9632</v>
      </c>
      <c r="E327" s="5"/>
      <c r="F327" s="5"/>
      <c r="G327" s="26">
        <f>(5.01*(B327^0.59)*Z$69)/(86.4*I$12)</f>
        <v>11.531897390955347</v>
      </c>
      <c r="H327" s="42">
        <f>L$30^(J327-(0.6458446*LN(P$34))-(9.53942*N327*(P$34/P$33))+(4.8904*N327))</f>
        <v>337.43175468833238</v>
      </c>
      <c r="I327" s="42">
        <f>L$30^(K$28-(0.6458446*LN(P$34))-(9.53942*N327*(P$34/P$33))+(4.8904*N327))</f>
        <v>3.0690353118020268</v>
      </c>
      <c r="J327" s="32">
        <v>4.7</v>
      </c>
      <c r="K327" s="56"/>
      <c r="L327" s="56"/>
      <c r="M327" s="22">
        <f>(B327-(0.74*P$328))</f>
        <v>41.573394670839384</v>
      </c>
      <c r="N327" s="10">
        <f>M327/Q327</f>
        <v>0.32864343613311764</v>
      </c>
      <c r="O327" s="50" t="s">
        <v>58</v>
      </c>
      <c r="P327" s="22">
        <f>(B327+B328+B329+B330+B331+B332+B333+B334+B335+B336+B337+B338)/12</f>
        <v>54.408333333333331</v>
      </c>
      <c r="Q327" s="89">
        <v>126.5</v>
      </c>
      <c r="R327" s="89"/>
      <c r="S327" s="5"/>
      <c r="T327" s="5"/>
      <c r="U327" s="5"/>
    </row>
    <row r="328" spans="1:21" x14ac:dyDescent="0.25">
      <c r="A328" s="8" t="s">
        <v>1</v>
      </c>
      <c r="B328" s="10">
        <v>260.60000000000002</v>
      </c>
      <c r="C328" s="5"/>
      <c r="D328" s="10">
        <v>18.809999999999999</v>
      </c>
      <c r="E328" s="5"/>
      <c r="F328" s="5"/>
      <c r="G328" s="26">
        <f>(5.01*(B328^0.59)*Z$69)/(86.4*J$13)</f>
        <v>22.193003190672098</v>
      </c>
      <c r="H328" s="42">
        <f>L$30^(J328-(0.6458446*LN(P$34))-(9.53942*N328*(P$34/P$33))+(4.8904*N328))</f>
        <v>173.81585614460622</v>
      </c>
      <c r="I328" s="42">
        <f>L$30^(K$28-(0.6458446*LN(P$34))-(9.53942*N328*(P$34/P$33))+(4.8904*N328))</f>
        <v>1.5809033763037921</v>
      </c>
      <c r="J328" s="32">
        <v>4.7</v>
      </c>
      <c r="K328" s="56"/>
      <c r="L328" s="56"/>
      <c r="M328" s="22">
        <f t="shared" ref="M328:M338" si="104">(B328-(0.74*P$328))</f>
        <v>205.97339467083941</v>
      </c>
      <c r="N328" s="10">
        <f t="shared" ref="N328:N338" si="105">M328/Q328</f>
        <v>1.7973245608275692</v>
      </c>
      <c r="O328" s="50" t="s">
        <v>66</v>
      </c>
      <c r="P328" s="22">
        <f>((((B327-P327)^2+(B328-P327)^2+(B329-P327)^2+(B330-P327)^2+(B331-P327)^2+(B332-P327)^2+(B333-P327)^2+(B334-P327)^2+(B335-P327)^2+(B336-P327)^2+(B337-P327)^2+(B338-P327)^2))/(12-1))^0.5</f>
        <v>73.819736931298138</v>
      </c>
      <c r="Q328" s="89">
        <v>114.6</v>
      </c>
      <c r="R328" s="89"/>
      <c r="S328" s="5"/>
      <c r="T328" s="5"/>
      <c r="U328" s="5"/>
    </row>
    <row r="329" spans="1:21" x14ac:dyDescent="0.25">
      <c r="A329" s="8" t="s">
        <v>2</v>
      </c>
      <c r="B329" s="10">
        <v>75.400000000000006</v>
      </c>
      <c r="C329" s="5"/>
      <c r="D329" s="1">
        <v>11823</v>
      </c>
      <c r="E329" s="5"/>
      <c r="F329" s="5"/>
      <c r="G329" s="26">
        <f>(5.01*(B329^0.59)*Z$69)/(86.4*I$14)</f>
        <v>9.9879548621760978</v>
      </c>
      <c r="H329" s="42">
        <f>L$30^(J329-(0.6458446*LN(P$34))-(9.53942*N329*(P$34/P$33))+(4.8904*N329))</f>
        <v>364.25317989494533</v>
      </c>
      <c r="I329" s="42">
        <f>L$30^(K$28-(0.6458446*LN(P$34))-(9.53942*N329*(P$34/P$33))+(4.8904*N329))</f>
        <v>3.3129836063185949</v>
      </c>
      <c r="J329" s="32">
        <v>4.7</v>
      </c>
      <c r="K329" s="56"/>
      <c r="L329" s="58"/>
      <c r="M329" s="22">
        <f t="shared" si="104"/>
        <v>20.773394670839387</v>
      </c>
      <c r="N329" s="10">
        <f t="shared" si="105"/>
        <v>0.15930517385613027</v>
      </c>
      <c r="O329" s="22"/>
      <c r="P329" s="22"/>
      <c r="Q329" s="89">
        <v>130.4</v>
      </c>
      <c r="R329" s="89"/>
      <c r="S329" s="5"/>
      <c r="T329" s="5"/>
      <c r="U329" s="5"/>
    </row>
    <row r="330" spans="1:21" x14ac:dyDescent="0.25">
      <c r="A330" s="8" t="s">
        <v>3</v>
      </c>
      <c r="B330" s="10">
        <v>83.4</v>
      </c>
      <c r="C330" s="5"/>
      <c r="D330" s="1">
        <v>9324</v>
      </c>
      <c r="E330" s="5"/>
      <c r="F330" s="5"/>
      <c r="G330" s="26">
        <f>(5.01*(B330^0.59)*Z$69)/(86.4*I$15)</f>
        <v>10.953574992281789</v>
      </c>
      <c r="H330" s="42">
        <f>L$30^(J330-(0.6458446*LN(P$34))-(9.53942*N330*(P$34/P$33))+(4.8904*N330))</f>
        <v>353.63677739908121</v>
      </c>
      <c r="I330" s="42">
        <f>L$30^(K$28-(0.6458446*LN(P$34))-(9.53942*N330*(P$34/P$33))+(4.8904*N330))</f>
        <v>3.2164244837955693</v>
      </c>
      <c r="J330" s="32">
        <v>4.7</v>
      </c>
      <c r="K330" s="56"/>
      <c r="L330" s="56"/>
      <c r="M330" s="22">
        <f t="shared" si="104"/>
        <v>28.773394670839387</v>
      </c>
      <c r="N330" s="10">
        <f t="shared" si="105"/>
        <v>0.22479214586593271</v>
      </c>
      <c r="O330" s="22"/>
      <c r="P330" s="22"/>
      <c r="Q330" s="89">
        <v>128</v>
      </c>
      <c r="R330" s="89"/>
      <c r="S330" s="5"/>
      <c r="T330" s="5"/>
      <c r="U330" s="5"/>
    </row>
    <row r="331" spans="1:21" x14ac:dyDescent="0.25">
      <c r="A331" s="8" t="s">
        <v>4</v>
      </c>
      <c r="B331" s="10">
        <v>40.6</v>
      </c>
      <c r="C331" s="5"/>
      <c r="D331" s="1">
        <v>6527</v>
      </c>
      <c r="E331" s="5"/>
      <c r="F331" s="5"/>
      <c r="G331" s="26">
        <f>(5.01*(B331^0.59)*Z$69)/(86.4*I$16)</f>
        <v>6.9319885510409422</v>
      </c>
      <c r="H331" s="42">
        <f t="shared" ref="H331:H338" si="106">L$30^(J331-(0.6458446*LN(P$34))-(9.53942*N331*(P$34/P$33))+(4.8904*N331))</f>
        <v>412.01560188823356</v>
      </c>
      <c r="I331" s="42">
        <f t="shared" ref="I331:I338" si="107">L$30^(K$28-(0.6458446*LN(P$34))-(9.53942*N331*(P$34/P$33))+(4.8904*N331))</f>
        <v>3.747396069395712</v>
      </c>
      <c r="J331" s="32">
        <v>4.7</v>
      </c>
      <c r="K331" s="56"/>
      <c r="L331" s="56"/>
      <c r="M331" s="22">
        <f t="shared" si="104"/>
        <v>-14.026605329160617</v>
      </c>
      <c r="N331" s="10">
        <f t="shared" si="105"/>
        <v>-0.11348386188641277</v>
      </c>
      <c r="O331" s="59"/>
      <c r="P331" s="59"/>
      <c r="Q331" s="89">
        <v>123.6</v>
      </c>
      <c r="R331" s="89"/>
      <c r="S331" s="5"/>
      <c r="T331" s="5"/>
      <c r="U331" s="5"/>
    </row>
    <row r="332" spans="1:21" x14ac:dyDescent="0.25">
      <c r="A332" s="8" t="s">
        <v>5</v>
      </c>
      <c r="B332" s="10">
        <v>11.7</v>
      </c>
      <c r="C332" s="5"/>
      <c r="D332" s="1">
        <v>3176</v>
      </c>
      <c r="E332" s="5"/>
      <c r="F332" s="5"/>
      <c r="G332" s="26">
        <f>(5.01*(B332^0.59)*Z$69)/(86.4*I$17)</f>
        <v>3.4379343123780592</v>
      </c>
      <c r="H332" s="42">
        <f t="shared" si="106"/>
        <v>209.95029167090982</v>
      </c>
      <c r="I332" s="42">
        <f t="shared" si="107"/>
        <v>4.2497952120236375</v>
      </c>
      <c r="J332" s="32">
        <v>3.9</v>
      </c>
      <c r="K332" s="56"/>
      <c r="L332" s="56"/>
      <c r="M332" s="22">
        <f t="shared" si="104"/>
        <v>-42.926605329160623</v>
      </c>
      <c r="N332" s="10">
        <f t="shared" si="105"/>
        <v>-0.39202379296037099</v>
      </c>
      <c r="O332" s="59"/>
      <c r="P332" s="59"/>
      <c r="Q332" s="89">
        <v>109.5</v>
      </c>
      <c r="R332" s="89"/>
      <c r="S332" s="5"/>
      <c r="T332" s="5"/>
      <c r="U332" s="5"/>
    </row>
    <row r="333" spans="1:21" x14ac:dyDescent="0.25">
      <c r="A333" s="8" t="s">
        <v>6</v>
      </c>
      <c r="B333" s="10">
        <v>13.9</v>
      </c>
      <c r="C333" s="5"/>
      <c r="D333" s="1">
        <v>2539</v>
      </c>
      <c r="E333" s="5"/>
      <c r="F333" s="5"/>
      <c r="G333" s="26">
        <f>(5.01*(B333^0.59)*Z$69)/(86.4*I$18)</f>
        <v>3.6830380793281581</v>
      </c>
      <c r="H333" s="42">
        <f t="shared" si="106"/>
        <v>46.719677417645435</v>
      </c>
      <c r="I333" s="42">
        <f t="shared" si="107"/>
        <v>4.2383135136706525</v>
      </c>
      <c r="J333" s="32">
        <v>2.4</v>
      </c>
      <c r="K333" s="56"/>
      <c r="L333" s="56"/>
      <c r="M333" s="22">
        <f t="shared" si="104"/>
        <v>-40.72660532916062</v>
      </c>
      <c r="N333" s="10">
        <f t="shared" si="105"/>
        <v>-0.38603417373611965</v>
      </c>
      <c r="O333" s="59"/>
      <c r="P333" s="59"/>
      <c r="Q333" s="89">
        <v>105.5</v>
      </c>
      <c r="R333" s="89"/>
      <c r="S333" s="5"/>
      <c r="T333" s="5"/>
      <c r="U333" s="5"/>
    </row>
    <row r="334" spans="1:21" x14ac:dyDescent="0.25">
      <c r="A334" s="8" t="s">
        <v>7</v>
      </c>
      <c r="B334" s="10">
        <v>0.4</v>
      </c>
      <c r="C334" s="5"/>
      <c r="D334" s="1">
        <v>1167</v>
      </c>
      <c r="E334" s="5"/>
      <c r="F334" s="5"/>
      <c r="G334" s="26">
        <f>(5.01*(B334^0.59)*Z$69)/(86.4*I$19)</f>
        <v>0.45398643017853541</v>
      </c>
      <c r="H334" s="42">
        <f t="shared" si="106"/>
        <v>13.526270957430823</v>
      </c>
      <c r="I334" s="42">
        <f t="shared" si="107"/>
        <v>4.5025044719941514</v>
      </c>
      <c r="J334" s="32">
        <v>1.1000000000000001</v>
      </c>
      <c r="K334" s="56"/>
      <c r="L334" s="56"/>
      <c r="M334" s="22">
        <f t="shared" si="104"/>
        <v>-54.22660532916062</v>
      </c>
      <c r="N334" s="10">
        <f t="shared" si="105"/>
        <v>-0.51990992645408074</v>
      </c>
      <c r="O334" s="60"/>
      <c r="P334" s="59"/>
      <c r="Q334" s="89">
        <v>104.3</v>
      </c>
      <c r="R334" s="89"/>
      <c r="S334" s="5"/>
      <c r="T334" s="5"/>
      <c r="U334" s="5"/>
    </row>
    <row r="335" spans="1:21" x14ac:dyDescent="0.25">
      <c r="A335" s="8" t="s">
        <v>8</v>
      </c>
      <c r="B335" s="10">
        <v>0</v>
      </c>
      <c r="C335" s="5"/>
      <c r="D335" s="10">
        <v>0.22900000000000001</v>
      </c>
      <c r="E335" s="5"/>
      <c r="F335" s="5"/>
      <c r="G335" s="26">
        <f>(5.01*(B335^0.59)*Z$69)/(86.4*I$20)</f>
        <v>0</v>
      </c>
      <c r="H335" s="42">
        <f t="shared" si="106"/>
        <v>13.638434493606525</v>
      </c>
      <c r="I335" s="42">
        <f t="shared" si="107"/>
        <v>4.5398404698323649</v>
      </c>
      <c r="J335" s="32">
        <v>1.1000000000000001</v>
      </c>
      <c r="K335" s="56"/>
      <c r="L335" s="56"/>
      <c r="M335" s="22">
        <f t="shared" si="104"/>
        <v>-54.626605329160618</v>
      </c>
      <c r="N335" s="10">
        <f t="shared" si="105"/>
        <v>-0.53819315595232131</v>
      </c>
      <c r="O335" s="59"/>
      <c r="P335" s="59"/>
      <c r="Q335" s="89">
        <v>101.5</v>
      </c>
      <c r="R335" s="89"/>
      <c r="S335" s="5"/>
      <c r="T335" s="5"/>
      <c r="U335" s="5"/>
    </row>
    <row r="336" spans="1:21" ht="18.75" x14ac:dyDescent="0.3">
      <c r="A336" s="8" t="s">
        <v>9</v>
      </c>
      <c r="B336" s="10">
        <v>1.3</v>
      </c>
      <c r="C336" s="5"/>
      <c r="D336" s="10">
        <v>0.47399999999999998</v>
      </c>
      <c r="E336" s="5"/>
      <c r="F336" s="5"/>
      <c r="G336" s="26">
        <f>(5.01*(B336^0.59)*Z$69)/(86.4*I$21)</f>
        <v>0.9100265327569651</v>
      </c>
      <c r="H336" s="42">
        <f t="shared" si="106"/>
        <v>48.998856785139196</v>
      </c>
      <c r="I336" s="42">
        <f t="shared" si="107"/>
        <v>4.4450760010691592</v>
      </c>
      <c r="J336" s="32">
        <v>2.4</v>
      </c>
      <c r="K336" s="56"/>
      <c r="L336" s="56"/>
      <c r="M336" s="22">
        <f t="shared" si="104"/>
        <v>-53.326605329160621</v>
      </c>
      <c r="N336" s="10">
        <f t="shared" si="105"/>
        <v>-0.49148945003834676</v>
      </c>
      <c r="O336" s="61"/>
      <c r="P336" s="62"/>
      <c r="Q336" s="89">
        <v>108.5</v>
      </c>
      <c r="R336" s="89"/>
      <c r="S336" s="5"/>
      <c r="T336" s="5"/>
      <c r="U336" s="5"/>
    </row>
    <row r="337" spans="1:22" x14ac:dyDescent="0.25">
      <c r="A337" s="8" t="s">
        <v>10</v>
      </c>
      <c r="B337" s="10">
        <v>9.5</v>
      </c>
      <c r="C337" s="5"/>
      <c r="D337" s="1">
        <v>1633</v>
      </c>
      <c r="E337" s="5"/>
      <c r="F337" s="5"/>
      <c r="G337" s="26">
        <f>(5.01*(B337^0.59)*Z$69)/(86.4*I$22)</f>
        <v>3.0403588309360536</v>
      </c>
      <c r="H337" s="42">
        <f t="shared" si="106"/>
        <v>210.98574879016206</v>
      </c>
      <c r="I337" s="42">
        <f t="shared" si="107"/>
        <v>4.2707548433374694</v>
      </c>
      <c r="J337" s="32">
        <v>3.9</v>
      </c>
      <c r="K337" s="56"/>
      <c r="L337" s="56"/>
      <c r="M337" s="22">
        <f t="shared" si="104"/>
        <v>-45.126605329160618</v>
      </c>
      <c r="N337" s="10">
        <f t="shared" si="105"/>
        <v>-0.40291611901036267</v>
      </c>
      <c r="O337" s="10"/>
      <c r="P337" s="22"/>
      <c r="Q337" s="89">
        <v>112</v>
      </c>
      <c r="R337" s="89"/>
      <c r="S337" s="5"/>
      <c r="T337" s="5"/>
      <c r="U337" s="5"/>
    </row>
    <row r="338" spans="1:22" x14ac:dyDescent="0.25">
      <c r="A338" s="8" t="s">
        <v>11</v>
      </c>
      <c r="B338" s="10">
        <v>59.9</v>
      </c>
      <c r="C338" s="5"/>
      <c r="D338" s="1">
        <v>6227</v>
      </c>
      <c r="E338" s="5"/>
      <c r="F338" s="5"/>
      <c r="G338" s="26">
        <f>(5.01*(B338^0.59)*Z$69)/(86.4*I$23)</f>
        <v>8.7198557814998789</v>
      </c>
      <c r="H338" s="42">
        <f t="shared" si="106"/>
        <v>172.47146263046565</v>
      </c>
      <c r="I338" s="42">
        <f t="shared" si="107"/>
        <v>3.4911520734944723</v>
      </c>
      <c r="J338" s="32">
        <v>3.9</v>
      </c>
      <c r="K338" s="56"/>
      <c r="L338" s="56"/>
      <c r="M338" s="22">
        <f t="shared" si="104"/>
        <v>5.2733946708393802</v>
      </c>
      <c r="N338" s="10">
        <f t="shared" si="105"/>
        <v>4.3331098363511754E-2</v>
      </c>
      <c r="O338" s="22"/>
      <c r="P338" s="22"/>
      <c r="Q338" s="89">
        <v>121.7</v>
      </c>
      <c r="R338" s="89"/>
      <c r="S338" s="5"/>
      <c r="T338" s="5"/>
      <c r="U338" s="5"/>
    </row>
    <row r="339" spans="1:22" x14ac:dyDescent="0.25">
      <c r="A339" s="8" t="s">
        <v>12</v>
      </c>
      <c r="B339" s="11">
        <v>2004</v>
      </c>
      <c r="C339" s="11">
        <v>2004</v>
      </c>
      <c r="D339" s="11">
        <v>2004</v>
      </c>
      <c r="E339" s="11">
        <v>2004</v>
      </c>
      <c r="F339" s="11">
        <v>2004</v>
      </c>
      <c r="G339" s="11">
        <v>2004</v>
      </c>
      <c r="H339" s="11">
        <v>2004</v>
      </c>
      <c r="I339" s="11">
        <v>2004</v>
      </c>
      <c r="J339" s="47" t="s">
        <v>70</v>
      </c>
      <c r="K339" s="27"/>
      <c r="L339" s="27"/>
      <c r="M339" s="39" t="s">
        <v>60</v>
      </c>
      <c r="N339" s="39" t="s">
        <v>73</v>
      </c>
      <c r="O339" s="105" t="s">
        <v>57</v>
      </c>
      <c r="P339" s="105"/>
      <c r="Q339" s="10"/>
      <c r="R339" s="10"/>
      <c r="S339" s="5"/>
      <c r="T339" s="5"/>
      <c r="U339" s="5"/>
    </row>
    <row r="340" spans="1:22" x14ac:dyDescent="0.25">
      <c r="A340" s="8" t="s">
        <v>0</v>
      </c>
      <c r="B340" s="10">
        <v>48</v>
      </c>
      <c r="C340" s="5"/>
      <c r="D340" s="1">
        <v>6601</v>
      </c>
      <c r="E340" s="5"/>
      <c r="F340" s="5"/>
      <c r="G340" s="26">
        <f>(5.01*(B340^0.59)*Z$69)/(86.4*I$12)</f>
        <v>7.6517329942502066</v>
      </c>
      <c r="H340" s="42">
        <f>L$30^(J340-(0.6458446*LN(P$34))-(9.53942*N340*(P$34/P$33))+(4.8904*N340))</f>
        <v>409.05456276183139</v>
      </c>
      <c r="I340" s="42">
        <f>L$30^(K$28-(0.6458446*LN(P$34))-(9.53942*N340*(P$34/P$33))+(4.8904*N340))</f>
        <v>3.7204645980321214</v>
      </c>
      <c r="J340" s="32">
        <v>4.7</v>
      </c>
      <c r="K340" s="56"/>
      <c r="L340" s="56"/>
      <c r="M340" s="22">
        <f>(B340-(0.74*P$341))</f>
        <v>-12.335668231732527</v>
      </c>
      <c r="N340" s="10">
        <f>M340/Q340</f>
        <v>-9.7515163887213652E-2</v>
      </c>
      <c r="O340" s="50" t="s">
        <v>58</v>
      </c>
      <c r="P340" s="22">
        <f>(B340+B341+B342+B343+B344+B345+B346+B347+B348+B349+B350+B351)/12</f>
        <v>56.183333333333337</v>
      </c>
      <c r="Q340" s="89">
        <v>126.5</v>
      </c>
      <c r="R340" s="89"/>
      <c r="S340" s="5"/>
      <c r="T340" s="5"/>
      <c r="U340" s="5"/>
    </row>
    <row r="341" spans="1:22" x14ac:dyDescent="0.25">
      <c r="A341" s="8" t="s">
        <v>1</v>
      </c>
      <c r="B341" s="10">
        <v>218.3</v>
      </c>
      <c r="C341" s="5"/>
      <c r="D341" s="1">
        <v>16019</v>
      </c>
      <c r="E341" s="5"/>
      <c r="F341" s="5"/>
      <c r="G341" s="26">
        <f>(5.01*(B341^0.59)*Z$69)/(86.4*J$13)</f>
        <v>19.990924407509276</v>
      </c>
      <c r="H341" s="42">
        <f>L$30^(J341-(0.6458446*LN(P$34))-(9.53942*N341*(P$34/P$33))+(4.8904*N341))</f>
        <v>210.0226727653023</v>
      </c>
      <c r="I341" s="42">
        <f>L$30^(K$28-(0.6458446*LN(P$34))-(9.53942*N341*(P$34/P$33))+(4.8904*N341))</f>
        <v>1.9102144064393312</v>
      </c>
      <c r="J341" s="32">
        <v>4.7</v>
      </c>
      <c r="K341" s="56"/>
      <c r="L341" s="56"/>
      <c r="M341" s="22">
        <f t="shared" ref="M341:M351" si="108">(B341-(0.74*P$341))</f>
        <v>157.96433176826747</v>
      </c>
      <c r="N341" s="10">
        <f t="shared" ref="N341:N351" si="109">M341/Q341</f>
        <v>1.3783973103688261</v>
      </c>
      <c r="O341" s="50" t="s">
        <v>66</v>
      </c>
      <c r="P341" s="22">
        <f>((((B340-P340)^2+(B341-P340)^2+(B342-P340)^2+(B343-P340)^2+(B344-P340)^2+(B345-P340)^2+(B346-P340)^2+(B347-P340)^2+(B348-P340)^2+(B349-P340)^2+(B350-P340)^2+(B351-P340)^2))/(12-1))^0.5</f>
        <v>81.53468679963855</v>
      </c>
      <c r="Q341" s="89">
        <v>114.6</v>
      </c>
      <c r="R341" s="89"/>
      <c r="S341" s="5"/>
      <c r="T341" s="5"/>
      <c r="U341" s="5"/>
    </row>
    <row r="342" spans="1:22" x14ac:dyDescent="0.25">
      <c r="A342" s="8" t="s">
        <v>2</v>
      </c>
      <c r="B342" s="10">
        <v>217.5</v>
      </c>
      <c r="C342" s="5"/>
      <c r="D342" s="1">
        <v>18267</v>
      </c>
      <c r="E342" s="5"/>
      <c r="F342" s="5"/>
      <c r="G342" s="26">
        <f>(5.01*(B342^0.59)*Z$69)/(86.4*I$14)</f>
        <v>18.660721919662254</v>
      </c>
      <c r="H342" s="42">
        <f>L$30^(J342-(0.6458446*LN(P$34))-(9.53942*N342*(P$34/P$33))+(4.8904*N342))</f>
        <v>227.107339186573</v>
      </c>
      <c r="I342" s="42">
        <f>L$30^(K$28-(0.6458446*LN(P$34))-(9.53942*N342*(P$34/P$33))+(4.8904*N342))</f>
        <v>2.0656041817308344</v>
      </c>
      <c r="J342" s="32">
        <v>4.7</v>
      </c>
      <c r="K342" s="56"/>
      <c r="L342" s="58"/>
      <c r="M342" s="22">
        <f t="shared" si="108"/>
        <v>157.16433176826746</v>
      </c>
      <c r="N342" s="10">
        <f t="shared" si="109"/>
        <v>1.2052479430081859</v>
      </c>
      <c r="O342" s="22"/>
      <c r="P342" s="22"/>
      <c r="Q342" s="89">
        <v>130.4</v>
      </c>
      <c r="R342" s="89"/>
      <c r="S342" s="10"/>
      <c r="T342" s="5"/>
      <c r="U342" s="5"/>
      <c r="V342" s="5"/>
    </row>
    <row r="343" spans="1:22" x14ac:dyDescent="0.25">
      <c r="A343" s="8" t="s">
        <v>3</v>
      </c>
      <c r="B343" s="10">
        <v>42</v>
      </c>
      <c r="C343" s="5"/>
      <c r="D343" s="1">
        <v>9055</v>
      </c>
      <c r="E343" s="5"/>
      <c r="F343" s="5"/>
      <c r="G343" s="26">
        <f>(5.01*(B343^0.59)*Z$69)/(86.4*I$15)</f>
        <v>7.3077721403906999</v>
      </c>
      <c r="H343" s="42">
        <f>L$30^(J343-(0.6458446*LN(P$34))-(9.53942*N343*(P$34/P$33))+(4.8904*N343))</f>
        <v>417.59191383713693</v>
      </c>
      <c r="I343" s="42">
        <f>L$30^(K$28-(0.6458446*LN(P$34))-(9.53942*N343*(P$34/P$33))+(4.8904*N343))</f>
        <v>3.7981141717764864</v>
      </c>
      <c r="J343" s="32">
        <v>4.7</v>
      </c>
      <c r="K343" s="56"/>
      <c r="L343" s="56"/>
      <c r="M343" s="22">
        <f t="shared" si="108"/>
        <v>-18.335668231732527</v>
      </c>
      <c r="N343" s="10">
        <f t="shared" si="109"/>
        <v>-0.14324740806041036</v>
      </c>
      <c r="O343" s="22"/>
      <c r="P343" s="22"/>
      <c r="Q343" s="89">
        <v>128</v>
      </c>
      <c r="R343" s="89"/>
      <c r="S343" s="5"/>
      <c r="T343" s="5"/>
      <c r="U343" s="5"/>
    </row>
    <row r="344" spans="1:22" x14ac:dyDescent="0.25">
      <c r="A344" s="8" t="s">
        <v>4</v>
      </c>
      <c r="B344" s="10">
        <v>107.5</v>
      </c>
      <c r="C344" s="5"/>
      <c r="D344" s="1">
        <v>10238</v>
      </c>
      <c r="E344" s="5"/>
      <c r="F344" s="5"/>
      <c r="G344" s="26">
        <f>(5.01*(B344^0.59)*Z$69)/(86.4*I$16)</f>
        <v>12.312846657289469</v>
      </c>
      <c r="H344" s="42">
        <f t="shared" ref="H344:H351" si="110">L$30^(J344-(0.6458446*LN(P$34))-(9.53942*N344*(P$34/P$33))+(4.8904*N344))</f>
        <v>329.45814964922602</v>
      </c>
      <c r="I344" s="42">
        <f t="shared" ref="I344:I351" si="111">L$30^(K$28-(0.6458446*LN(P$34))-(9.53942*N344*(P$34/P$33))+(4.8904*N344))</f>
        <v>2.9965131644718714</v>
      </c>
      <c r="J344" s="32">
        <v>4.7</v>
      </c>
      <c r="K344" s="56"/>
      <c r="L344" s="56"/>
      <c r="M344" s="22">
        <f t="shared" si="108"/>
        <v>47.164331768267473</v>
      </c>
      <c r="N344" s="10">
        <f t="shared" si="109"/>
        <v>0.38158844472708314</v>
      </c>
      <c r="O344" s="59"/>
      <c r="P344" s="59"/>
      <c r="Q344" s="89">
        <v>123.6</v>
      </c>
      <c r="R344" s="89"/>
      <c r="S344" s="5"/>
      <c r="T344" s="5"/>
      <c r="U344" s="5"/>
    </row>
    <row r="345" spans="1:22" x14ac:dyDescent="0.25">
      <c r="A345" s="8" t="s">
        <v>5</v>
      </c>
      <c r="B345" s="10">
        <v>14.6</v>
      </c>
      <c r="C345" s="5"/>
      <c r="D345" s="1">
        <v>4837</v>
      </c>
      <c r="E345" s="5"/>
      <c r="F345" s="5"/>
      <c r="G345" s="26">
        <f>(5.01*(B345^0.59)*Z$69)/(86.4*I$17)</f>
        <v>3.9177444222519946</v>
      </c>
      <c r="H345" s="42">
        <f t="shared" si="110"/>
        <v>212.39714874791358</v>
      </c>
      <c r="I345" s="42">
        <f t="shared" si="111"/>
        <v>4.2993242762968897</v>
      </c>
      <c r="J345" s="32">
        <v>3.9</v>
      </c>
      <c r="K345" s="56"/>
      <c r="L345" s="56"/>
      <c r="M345" s="22">
        <f t="shared" si="108"/>
        <v>-45.735668231732525</v>
      </c>
      <c r="N345" s="10">
        <f t="shared" si="109"/>
        <v>-0.41767733544961211</v>
      </c>
      <c r="O345" s="59"/>
      <c r="P345" s="59"/>
      <c r="Q345" s="89">
        <v>109.5</v>
      </c>
      <c r="R345" s="89"/>
      <c r="S345" s="5"/>
      <c r="T345" s="5"/>
      <c r="U345" s="5"/>
    </row>
    <row r="346" spans="1:22" x14ac:dyDescent="0.25">
      <c r="A346" s="8" t="s">
        <v>6</v>
      </c>
      <c r="B346" s="10">
        <v>3.5</v>
      </c>
      <c r="C346" s="5"/>
      <c r="D346" s="1">
        <v>1607</v>
      </c>
      <c r="E346" s="5"/>
      <c r="F346" s="5"/>
      <c r="G346" s="26">
        <f>(5.01*(B346^0.59)*Z$69)/(86.4*I$18)</f>
        <v>1.6324038978598614</v>
      </c>
      <c r="H346" s="42">
        <f t="shared" si="110"/>
        <v>50.055523892935042</v>
      </c>
      <c r="I346" s="42">
        <f t="shared" si="111"/>
        <v>4.5409346783966456</v>
      </c>
      <c r="J346" s="32">
        <v>2.4</v>
      </c>
      <c r="K346" s="56"/>
      <c r="L346" s="56"/>
      <c r="M346" s="22">
        <f t="shared" si="108"/>
        <v>-56.835668231732527</v>
      </c>
      <c r="N346" s="10">
        <f t="shared" si="109"/>
        <v>-0.53872671309699083</v>
      </c>
      <c r="O346" s="59"/>
      <c r="P346" s="59"/>
      <c r="Q346" s="89">
        <v>105.5</v>
      </c>
      <c r="R346" s="89"/>
      <c r="S346" s="5"/>
      <c r="T346" s="5"/>
      <c r="U346" s="5"/>
    </row>
    <row r="347" spans="1:22" x14ac:dyDescent="0.25">
      <c r="A347" s="8" t="s">
        <v>7</v>
      </c>
      <c r="B347" s="10">
        <v>0.1</v>
      </c>
      <c r="C347" s="5"/>
      <c r="D347" s="10">
        <v>0.56200000000000006</v>
      </c>
      <c r="E347" s="5"/>
      <c r="F347" s="5"/>
      <c r="G347" s="26">
        <f>(5.01*(B347^0.59)*Z$69)/(86.4*I$19)</f>
        <v>0.20036759109694574</v>
      </c>
      <c r="H347" s="42">
        <f t="shared" si="110"/>
        <v>13.882877850583172</v>
      </c>
      <c r="I347" s="42">
        <f t="shared" si="111"/>
        <v>4.6212085949719874</v>
      </c>
      <c r="J347" s="32">
        <v>1.1000000000000001</v>
      </c>
      <c r="K347" s="56"/>
      <c r="L347" s="56"/>
      <c r="M347" s="22">
        <f t="shared" si="108"/>
        <v>-60.235668231732525</v>
      </c>
      <c r="N347" s="10">
        <f t="shared" si="109"/>
        <v>-0.57752318534738756</v>
      </c>
      <c r="O347" s="60"/>
      <c r="P347" s="59"/>
      <c r="Q347" s="89">
        <v>104.3</v>
      </c>
      <c r="R347" s="89"/>
      <c r="S347" s="5"/>
      <c r="T347" s="5"/>
      <c r="U347" s="5"/>
    </row>
    <row r="348" spans="1:22" x14ac:dyDescent="0.25">
      <c r="A348" s="8" t="s">
        <v>8</v>
      </c>
      <c r="B348" s="10">
        <v>3.7</v>
      </c>
      <c r="C348" s="5"/>
      <c r="D348" s="10">
        <v>0.871</v>
      </c>
      <c r="E348" s="5"/>
      <c r="F348" s="5"/>
      <c r="G348" s="26">
        <f>(5.01*(B348^0.59)*Z$69)/(86.4*I$20)</f>
        <v>1.7430383129944893</v>
      </c>
      <c r="H348" s="42">
        <f t="shared" si="110"/>
        <v>13.760913336583016</v>
      </c>
      <c r="I348" s="42">
        <f t="shared" si="111"/>
        <v>4.5806101350240391</v>
      </c>
      <c r="J348" s="32">
        <v>1.1000000000000001</v>
      </c>
      <c r="K348" s="56"/>
      <c r="L348" s="56"/>
      <c r="M348" s="22">
        <f t="shared" si="108"/>
        <v>-56.635668231732524</v>
      </c>
      <c r="N348" s="10">
        <f t="shared" si="109"/>
        <v>-0.55798687913036971</v>
      </c>
      <c r="O348" s="59"/>
      <c r="P348" s="59"/>
      <c r="Q348" s="89">
        <v>101.5</v>
      </c>
      <c r="R348" s="89"/>
      <c r="S348" s="5"/>
      <c r="T348" s="5"/>
      <c r="U348" s="5"/>
    </row>
    <row r="349" spans="1:22" ht="18.75" x14ac:dyDescent="0.3">
      <c r="A349" s="8" t="s">
        <v>9</v>
      </c>
      <c r="B349" s="10">
        <v>5.8</v>
      </c>
      <c r="C349" s="5"/>
      <c r="D349" s="10">
        <v>1.27</v>
      </c>
      <c r="E349" s="5"/>
      <c r="F349" s="5"/>
      <c r="G349" s="26">
        <f>(5.01*(B349^0.59)*Z$69)/(86.4*I$21)</f>
        <v>2.1991253921534999</v>
      </c>
      <c r="H349" s="42">
        <f t="shared" si="110"/>
        <v>49.246100213906246</v>
      </c>
      <c r="I349" s="42">
        <f t="shared" si="111"/>
        <v>4.4675054188911645</v>
      </c>
      <c r="J349" s="32">
        <v>2.4</v>
      </c>
      <c r="K349" s="56"/>
      <c r="L349" s="56"/>
      <c r="M349" s="22">
        <f t="shared" si="108"/>
        <v>-54.535668231732529</v>
      </c>
      <c r="N349" s="10">
        <f t="shared" si="109"/>
        <v>-0.50263288692841046</v>
      </c>
      <c r="O349" s="61"/>
      <c r="P349" s="62"/>
      <c r="Q349" s="89">
        <v>108.5</v>
      </c>
      <c r="R349" s="89"/>
      <c r="S349" s="5"/>
      <c r="T349" s="5"/>
      <c r="U349" s="5"/>
    </row>
    <row r="350" spans="1:22" x14ac:dyDescent="0.25">
      <c r="A350" s="8" t="s">
        <v>10</v>
      </c>
      <c r="B350" s="10">
        <v>1.1000000000000001</v>
      </c>
      <c r="C350" s="5"/>
      <c r="D350" s="10">
        <v>0.84</v>
      </c>
      <c r="E350" s="5"/>
      <c r="F350" s="5"/>
      <c r="G350" s="26">
        <f>(5.01*(B350^0.59)*Z$69)/(86.4*I$22)</f>
        <v>0.85209810663542696</v>
      </c>
      <c r="H350" s="42">
        <f t="shared" si="110"/>
        <v>223.33878198068271</v>
      </c>
      <c r="I350" s="42">
        <f t="shared" si="111"/>
        <v>4.5208038472670893</v>
      </c>
      <c r="J350" s="32">
        <v>3.9</v>
      </c>
      <c r="K350" s="56"/>
      <c r="L350" s="56"/>
      <c r="M350" s="22">
        <f t="shared" si="108"/>
        <v>-59.235668231732525</v>
      </c>
      <c r="N350" s="10">
        <f t="shared" si="109"/>
        <v>-0.52888989492618321</v>
      </c>
      <c r="O350" s="10"/>
      <c r="P350" s="22"/>
      <c r="Q350" s="89">
        <v>112</v>
      </c>
      <c r="R350" s="89"/>
      <c r="S350" s="5"/>
      <c r="T350" s="5"/>
      <c r="U350" s="5"/>
    </row>
    <row r="351" spans="1:22" x14ac:dyDescent="0.25">
      <c r="A351" s="8" t="s">
        <v>11</v>
      </c>
      <c r="B351" s="10">
        <v>12.1</v>
      </c>
      <c r="C351" s="5"/>
      <c r="D351" s="1">
        <v>1906</v>
      </c>
      <c r="E351" s="5"/>
      <c r="F351" s="5"/>
      <c r="G351" s="26">
        <f>(5.01*(B351^0.59)*Z$69)/(86.4*I$23)</f>
        <v>3.3936796594200929</v>
      </c>
      <c r="H351" s="42">
        <f t="shared" si="110"/>
        <v>210.36084514242435</v>
      </c>
      <c r="I351" s="42">
        <f t="shared" si="111"/>
        <v>4.2581055990377985</v>
      </c>
      <c r="J351" s="32">
        <v>3.9</v>
      </c>
      <c r="K351" s="56"/>
      <c r="L351" s="56"/>
      <c r="M351" s="22">
        <f t="shared" si="108"/>
        <v>-48.235668231732525</v>
      </c>
      <c r="N351" s="10">
        <f t="shared" si="109"/>
        <v>-0.3963489583544168</v>
      </c>
      <c r="O351" s="22"/>
      <c r="P351" s="22"/>
      <c r="Q351" s="89">
        <v>121.7</v>
      </c>
      <c r="R351" s="89"/>
      <c r="S351" s="5"/>
      <c r="T351" s="5"/>
      <c r="U351" s="5"/>
    </row>
    <row r="352" spans="1:22" x14ac:dyDescent="0.25">
      <c r="A352" s="8" t="s">
        <v>12</v>
      </c>
      <c r="B352" s="11">
        <v>2005</v>
      </c>
      <c r="C352" s="11">
        <v>2005</v>
      </c>
      <c r="D352" s="11">
        <v>2005</v>
      </c>
      <c r="E352" s="11">
        <v>2005</v>
      </c>
      <c r="F352" s="11">
        <v>2005</v>
      </c>
      <c r="G352" s="11">
        <v>2005</v>
      </c>
      <c r="H352" s="11">
        <v>2005</v>
      </c>
      <c r="I352" s="11">
        <v>2005</v>
      </c>
      <c r="J352" s="47" t="s">
        <v>70</v>
      </c>
      <c r="K352" s="27"/>
      <c r="L352" s="27"/>
      <c r="M352" s="39" t="s">
        <v>60</v>
      </c>
      <c r="N352" s="39" t="s">
        <v>73</v>
      </c>
      <c r="O352" s="105" t="s">
        <v>57</v>
      </c>
      <c r="P352" s="105"/>
      <c r="Q352" s="10"/>
      <c r="R352" s="10"/>
      <c r="S352" s="5"/>
      <c r="T352" s="5"/>
      <c r="U352" s="5"/>
    </row>
    <row r="353" spans="1:21" x14ac:dyDescent="0.25">
      <c r="A353" s="8" t="s">
        <v>0</v>
      </c>
      <c r="B353" s="10">
        <v>46</v>
      </c>
      <c r="C353" s="5"/>
      <c r="D353" s="1">
        <v>5286</v>
      </c>
      <c r="E353" s="5"/>
      <c r="F353" s="5"/>
      <c r="G353" s="26">
        <f>(5.01*(B353^0.59)*Z$69)/(86.4*I$12)</f>
        <v>7.4619888821750324</v>
      </c>
      <c r="H353" s="42">
        <f>L$30^(J353-(0.6458446*LN(P$34))-(9.53942*N353*(P$34/P$33))+(4.8904*N353))</f>
        <v>442.77319322020804</v>
      </c>
      <c r="I353" s="42">
        <f>L$30^(K$28-(0.6458446*LN(P$34))-(9.53942*N353*(P$34/P$33))+(4.8904*N353))</f>
        <v>4.0271448855407561</v>
      </c>
      <c r="J353" s="32">
        <v>4.7</v>
      </c>
      <c r="K353" s="56"/>
      <c r="L353" s="56"/>
      <c r="M353" s="22">
        <f>(B353-(0.74*P$354))</f>
        <v>-34.519644850674723</v>
      </c>
      <c r="N353" s="10">
        <f>M353/Q353</f>
        <v>-0.27288256798952348</v>
      </c>
      <c r="O353" s="50" t="s">
        <v>58</v>
      </c>
      <c r="P353" s="22">
        <f>(B353+B354+B355+B356+B357+B358+B359+B360+B361+B362+B363+B364)/12</f>
        <v>63.941666666666663</v>
      </c>
      <c r="Q353" s="89">
        <v>126.5</v>
      </c>
      <c r="R353" s="89"/>
      <c r="S353" s="5"/>
      <c r="T353" s="5"/>
      <c r="U353" s="5"/>
    </row>
    <row r="354" spans="1:21" x14ac:dyDescent="0.25">
      <c r="A354" s="8" t="s">
        <v>1</v>
      </c>
      <c r="B354" s="10">
        <v>179.3</v>
      </c>
      <c r="C354" s="5"/>
      <c r="D354" s="1">
        <v>14198</v>
      </c>
      <c r="E354" s="5"/>
      <c r="F354" s="5"/>
      <c r="G354" s="26">
        <f>(5.01*(B354^0.59)*Z$69)/(86.4*J$13)</f>
        <v>17.799325440928307</v>
      </c>
      <c r="H354" s="42">
        <f>L$30^(J354-(0.6458446*LN(P$34))-(9.53942*N354*(P$34/P$33))+(4.8904*N354))</f>
        <v>265.19845804445299</v>
      </c>
      <c r="I354" s="42">
        <f>L$30^(K$28-(0.6458446*LN(P$34))-(9.53942*N354*(P$34/P$33))+(4.8904*N354))</f>
        <v>2.4120534628569068</v>
      </c>
      <c r="J354" s="32">
        <v>4.7</v>
      </c>
      <c r="K354" s="56"/>
      <c r="L354" s="56"/>
      <c r="M354" s="22">
        <f t="shared" ref="M354:M364" si="112">(B354-(0.74*P$354))</f>
        <v>98.780355149325288</v>
      </c>
      <c r="N354" s="10">
        <f t="shared" ref="N354:N364" si="113">M354/Q354</f>
        <v>0.86195772381610203</v>
      </c>
      <c r="O354" s="50" t="s">
        <v>66</v>
      </c>
      <c r="P354" s="22">
        <f>((((B353-P353)^2+(B354-P353)^2+(B355-P353)^2+(B356-P353)^2+(B357-P353)^2+(B358-P353)^2+(B359-P353)^2+(B360-P353)^2+(B361-P353)^2+(B362-P353)^2+(B363-P353)^2+(B364-P353)^2))/(12-1))^0.5</f>
        <v>108.81033087929018</v>
      </c>
      <c r="Q354" s="89">
        <v>114.6</v>
      </c>
      <c r="R354" s="89"/>
      <c r="S354" s="5"/>
      <c r="T354" s="5"/>
      <c r="U354" s="5"/>
    </row>
    <row r="355" spans="1:21" x14ac:dyDescent="0.25">
      <c r="A355" s="8" t="s">
        <v>2</v>
      </c>
      <c r="B355" s="10">
        <v>161.9</v>
      </c>
      <c r="C355" s="5"/>
      <c r="D355" s="1">
        <v>15242</v>
      </c>
      <c r="E355" s="5"/>
      <c r="F355" s="5"/>
      <c r="G355" s="26">
        <f>(5.01*(B355^0.59)*Z$69)/(86.4*I$14)</f>
        <v>15.677727722231962</v>
      </c>
      <c r="H355" s="42">
        <f>L$30^(J355-(0.6458446*LN(P$34))-(9.53942*N355*(P$34/P$33))+(4.8904*N355))</f>
        <v>295.27903574326712</v>
      </c>
      <c r="I355" s="42">
        <f>L$30^(K$28-(0.6458446*LN(P$34))-(9.53942*N355*(P$34/P$33))+(4.8904*N355))</f>
        <v>2.6856446524067321</v>
      </c>
      <c r="J355" s="32">
        <v>4.7</v>
      </c>
      <c r="K355" s="56"/>
      <c r="L355" s="58"/>
      <c r="M355" s="22">
        <f t="shared" si="112"/>
        <v>81.380355149325283</v>
      </c>
      <c r="N355" s="10">
        <f t="shared" si="113"/>
        <v>0.62408247813899753</v>
      </c>
      <c r="O355" s="22"/>
      <c r="P355" s="22"/>
      <c r="Q355" s="89">
        <v>130.4</v>
      </c>
      <c r="R355" s="89"/>
      <c r="S355" s="5"/>
      <c r="T355" s="5"/>
      <c r="U355" s="5"/>
    </row>
    <row r="356" spans="1:21" x14ac:dyDescent="0.25">
      <c r="A356" s="8" t="s">
        <v>3</v>
      </c>
      <c r="B356" s="10">
        <v>343.6</v>
      </c>
      <c r="C356" s="5"/>
      <c r="D356" s="1">
        <v>23167</v>
      </c>
      <c r="E356" s="5"/>
      <c r="F356" s="5"/>
      <c r="G356" s="26">
        <f>(5.01*(B356^0.59)*Z$69)/(86.4*I$15)</f>
        <v>25.254529251480484</v>
      </c>
      <c r="H356" s="42">
        <f>L$30^(J356-(0.6458446*LN(P$34))-(9.53942*N356*(P$34/P$33))+(4.8904*N356))</f>
        <v>154.69701060300292</v>
      </c>
      <c r="I356" s="42">
        <f>L$30^(K$28-(0.6458446*LN(P$34))-(9.53942*N356*(P$34/P$33))+(4.8904*N356))</f>
        <v>1.4070121782383771</v>
      </c>
      <c r="J356" s="32">
        <v>4.7</v>
      </c>
      <c r="K356" s="56"/>
      <c r="L356" s="56"/>
      <c r="M356" s="22">
        <f t="shared" si="112"/>
        <v>263.08035514932533</v>
      </c>
      <c r="N356" s="10">
        <f t="shared" si="113"/>
        <v>2.0553152746041041</v>
      </c>
      <c r="O356" s="22"/>
      <c r="P356" s="22"/>
      <c r="Q356" s="89">
        <v>128</v>
      </c>
      <c r="R356" s="89"/>
      <c r="S356" s="5"/>
      <c r="T356" s="5"/>
      <c r="U356" s="5"/>
    </row>
    <row r="357" spans="1:21" x14ac:dyDescent="0.25">
      <c r="A357" s="8" t="s">
        <v>4</v>
      </c>
      <c r="B357" s="10">
        <v>6.3</v>
      </c>
      <c r="C357" s="5"/>
      <c r="D357" s="1">
        <v>7142</v>
      </c>
      <c r="E357" s="5"/>
      <c r="F357" s="5"/>
      <c r="G357" s="26">
        <f>(5.01*(B357^0.59)*Z$69)/(86.4*I$16)</f>
        <v>2.3090769239442173</v>
      </c>
      <c r="H357" s="42">
        <f t="shared" ref="H357:H364" si="114">L$30^(J357-(0.6458446*LN(P$34))-(9.53942*N357*(P$34/P$33))+(4.8904*N357))</f>
        <v>513.3852064971029</v>
      </c>
      <c r="I357" s="42">
        <f t="shared" ref="I357:I364" si="115">L$30^(K$28-(0.6458446*LN(P$34))-(9.53942*N357*(P$34/P$33))+(4.8904*N357))</f>
        <v>4.6693807130027807</v>
      </c>
      <c r="J357" s="32">
        <v>4.7</v>
      </c>
      <c r="K357" s="56"/>
      <c r="L357" s="56"/>
      <c r="M357" s="22">
        <f t="shared" si="112"/>
        <v>-74.219644850674726</v>
      </c>
      <c r="N357" s="10">
        <f t="shared" si="113"/>
        <v>-0.60048256351678586</v>
      </c>
      <c r="O357" s="59"/>
      <c r="P357" s="59"/>
      <c r="Q357" s="89">
        <v>123.6</v>
      </c>
      <c r="R357" s="89"/>
      <c r="S357" s="5"/>
      <c r="T357" s="5"/>
      <c r="U357" s="5"/>
    </row>
    <row r="358" spans="1:21" x14ac:dyDescent="0.25">
      <c r="A358" s="8" t="s">
        <v>5</v>
      </c>
      <c r="B358" s="10">
        <v>0</v>
      </c>
      <c r="C358" s="5"/>
      <c r="D358" s="1">
        <v>1288</v>
      </c>
      <c r="E358" s="5"/>
      <c r="F358" s="5"/>
      <c r="G358" s="26">
        <f>(5.01*(B358^0.59)*Z$69)/(86.4*I$17)</f>
        <v>0</v>
      </c>
      <c r="H358" s="42">
        <f t="shared" si="114"/>
        <v>245.1665711110611</v>
      </c>
      <c r="I358" s="42">
        <f t="shared" si="115"/>
        <v>4.9626400219019233</v>
      </c>
      <c r="J358" s="32">
        <v>3.9</v>
      </c>
      <c r="K358" s="56"/>
      <c r="L358" s="56"/>
      <c r="M358" s="22">
        <f t="shared" si="112"/>
        <v>-80.519644850674723</v>
      </c>
      <c r="N358" s="10">
        <f t="shared" si="113"/>
        <v>-0.73533922238059113</v>
      </c>
      <c r="O358" s="59"/>
      <c r="P358" s="59"/>
      <c r="Q358" s="89">
        <v>109.5</v>
      </c>
      <c r="R358" s="89"/>
      <c r="S358" s="5"/>
      <c r="T358" s="5"/>
      <c r="U358" s="5"/>
    </row>
    <row r="359" spans="1:21" x14ac:dyDescent="0.25">
      <c r="A359" s="8" t="s">
        <v>6</v>
      </c>
      <c r="B359" s="10">
        <v>0</v>
      </c>
      <c r="C359" s="5"/>
      <c r="D359" s="10">
        <v>0.10299999999999999</v>
      </c>
      <c r="E359" s="5"/>
      <c r="F359" s="5"/>
      <c r="G359" s="26">
        <f>(5.01*(B359^0.59)*Z$69)/(86.4*I$18)</f>
        <v>0</v>
      </c>
      <c r="H359" s="42">
        <f t="shared" si="114"/>
        <v>55.397287945376185</v>
      </c>
      <c r="I359" s="42">
        <f t="shared" si="115"/>
        <v>5.0255285801890954</v>
      </c>
      <c r="J359" s="32">
        <v>2.4</v>
      </c>
      <c r="K359" s="56"/>
      <c r="L359" s="56"/>
      <c r="M359" s="22">
        <f t="shared" si="112"/>
        <v>-80.519644850674723</v>
      </c>
      <c r="N359" s="10">
        <f t="shared" si="113"/>
        <v>-0.76321938247085042</v>
      </c>
      <c r="O359" s="59"/>
      <c r="P359" s="59"/>
      <c r="Q359" s="89">
        <v>105.5</v>
      </c>
      <c r="R359" s="89"/>
      <c r="S359" s="5"/>
      <c r="T359" s="5"/>
      <c r="U359" s="5"/>
    </row>
    <row r="360" spans="1:21" x14ac:dyDescent="0.25">
      <c r="A360" s="8" t="s">
        <v>7</v>
      </c>
      <c r="B360" s="10">
        <v>0.4</v>
      </c>
      <c r="C360" s="5"/>
      <c r="D360" s="10">
        <v>0.24099999999999999</v>
      </c>
      <c r="E360" s="5"/>
      <c r="F360" s="5"/>
      <c r="G360" s="26">
        <f>(5.01*(B360^0.59)*Z$69)/(86.4*I$19)</f>
        <v>0.45398643017853541</v>
      </c>
      <c r="H360" s="42">
        <f t="shared" si="114"/>
        <v>15.131287263324465</v>
      </c>
      <c r="I360" s="42">
        <f t="shared" si="115"/>
        <v>5.0367679890900918</v>
      </c>
      <c r="J360" s="32">
        <v>1.1000000000000001</v>
      </c>
      <c r="K360" s="56"/>
      <c r="L360" s="56"/>
      <c r="M360" s="22">
        <f t="shared" si="112"/>
        <v>-80.119644850674717</v>
      </c>
      <c r="N360" s="10">
        <f t="shared" si="113"/>
        <v>-0.76816533893264349</v>
      </c>
      <c r="O360" s="60"/>
      <c r="P360" s="59"/>
      <c r="Q360" s="89">
        <v>104.3</v>
      </c>
      <c r="R360" s="89"/>
      <c r="S360" s="5"/>
      <c r="T360" s="5"/>
      <c r="U360" s="5"/>
    </row>
    <row r="361" spans="1:21" x14ac:dyDescent="0.25">
      <c r="A361" s="8" t="s">
        <v>8</v>
      </c>
      <c r="B361" s="10">
        <v>0.3</v>
      </c>
      <c r="C361" s="5"/>
      <c r="D361" s="10">
        <v>0.26300000000000001</v>
      </c>
      <c r="E361" s="5"/>
      <c r="F361" s="5"/>
      <c r="G361" s="26">
        <f>(5.01*(B361^0.59)*Z$69)/(86.4*I$20)</f>
        <v>0.3958853733822173</v>
      </c>
      <c r="H361" s="42">
        <f>L$30^(J361-(0.6458446*LN(P$34))-(9.53942*N361*(P$34/P$33))+(4.8904*N361))</f>
        <v>15.283609030316773</v>
      </c>
      <c r="I361" s="42">
        <f t="shared" si="115"/>
        <v>5.0874715007396309</v>
      </c>
      <c r="J361" s="32">
        <v>1.1000000000000001</v>
      </c>
      <c r="K361" s="56"/>
      <c r="L361" s="56"/>
      <c r="M361" s="22">
        <f>(B361-(0.74*P$354))</f>
        <v>-80.219644850674726</v>
      </c>
      <c r="N361" s="10">
        <f t="shared" si="113"/>
        <v>-0.79034132857807615</v>
      </c>
      <c r="O361" s="59"/>
      <c r="P361" s="59"/>
      <c r="Q361" s="89">
        <v>101.5</v>
      </c>
      <c r="R361" s="89"/>
      <c r="S361" s="5"/>
      <c r="T361" s="5"/>
      <c r="U361" s="5"/>
    </row>
    <row r="362" spans="1:21" ht="18.75" x14ac:dyDescent="0.3">
      <c r="A362" s="8" t="s">
        <v>9</v>
      </c>
      <c r="B362" s="10">
        <v>1.1000000000000001</v>
      </c>
      <c r="C362" s="5"/>
      <c r="D362" s="10">
        <v>0.45800000000000002</v>
      </c>
      <c r="E362" s="5"/>
      <c r="F362" s="5"/>
      <c r="G362" s="26">
        <f>(5.01*(B362^0.59)*Z$69)/(86.4*I$21)</f>
        <v>0.82461107093750996</v>
      </c>
      <c r="H362" s="42">
        <f t="shared" si="114"/>
        <v>54.621075880964241</v>
      </c>
      <c r="I362" s="42">
        <f t="shared" si="115"/>
        <v>4.9551122103870942</v>
      </c>
      <c r="J362" s="32">
        <v>2.4</v>
      </c>
      <c r="K362" s="56"/>
      <c r="L362" s="56"/>
      <c r="M362" s="22">
        <f t="shared" si="112"/>
        <v>-79.419644850674729</v>
      </c>
      <c r="N362" s="10">
        <f t="shared" si="113"/>
        <v>-0.73197829355460575</v>
      </c>
      <c r="O362" s="61"/>
      <c r="P362" s="62"/>
      <c r="Q362" s="89">
        <v>108.5</v>
      </c>
      <c r="R362" s="89"/>
      <c r="S362" s="5"/>
      <c r="T362" s="5"/>
      <c r="U362" s="5"/>
    </row>
    <row r="363" spans="1:21" x14ac:dyDescent="0.25">
      <c r="A363" s="8" t="s">
        <v>10</v>
      </c>
      <c r="B363" s="10">
        <v>1.6</v>
      </c>
      <c r="C363" s="5"/>
      <c r="D363" s="10">
        <v>0.61499999999999999</v>
      </c>
      <c r="E363" s="5"/>
      <c r="F363" s="5"/>
      <c r="G363" s="26">
        <f>(5.01*(B363^0.59)*Z$69)/(86.4*I$22)</f>
        <v>1.0629154158439398</v>
      </c>
      <c r="H363" s="42">
        <f t="shared" si="114"/>
        <v>241.79049848052006</v>
      </c>
      <c r="I363" s="42">
        <f t="shared" si="115"/>
        <v>4.8943018586799072</v>
      </c>
      <c r="J363" s="32">
        <v>3.9</v>
      </c>
      <c r="K363" s="56"/>
      <c r="L363" s="56"/>
      <c r="M363" s="22">
        <f t="shared" si="112"/>
        <v>-78.919644850674729</v>
      </c>
      <c r="N363" s="10">
        <f t="shared" si="113"/>
        <v>-0.70463968616673867</v>
      </c>
      <c r="O363" s="62"/>
      <c r="P363" s="59"/>
      <c r="Q363" s="89">
        <v>112</v>
      </c>
      <c r="R363" s="89"/>
      <c r="S363" s="5"/>
      <c r="T363" s="5"/>
      <c r="U363" s="5"/>
    </row>
    <row r="364" spans="1:21" x14ac:dyDescent="0.25">
      <c r="A364" s="8" t="s">
        <v>11</v>
      </c>
      <c r="B364" s="10">
        <v>26.8</v>
      </c>
      <c r="C364" s="5"/>
      <c r="D364" s="1">
        <v>3442</v>
      </c>
      <c r="E364" s="5"/>
      <c r="F364" s="5"/>
      <c r="G364" s="26">
        <f>(5.01*(B364^0.59)*Z$69)/(86.4*I$23)</f>
        <v>5.4253405658893872</v>
      </c>
      <c r="H364" s="42">
        <f t="shared" si="114"/>
        <v>214.68621541827522</v>
      </c>
      <c r="I364" s="42">
        <f t="shared" si="115"/>
        <v>4.3456593611318954</v>
      </c>
      <c r="J364" s="32">
        <v>3.9</v>
      </c>
      <c r="K364" s="56"/>
      <c r="L364" s="56"/>
      <c r="M364" s="22">
        <f t="shared" si="112"/>
        <v>-53.719644850674726</v>
      </c>
      <c r="N364" s="10">
        <f t="shared" si="113"/>
        <v>-0.44141039318549485</v>
      </c>
      <c r="O364" s="22"/>
      <c r="P364" s="22"/>
      <c r="Q364" s="89">
        <v>121.7</v>
      </c>
      <c r="R364" s="89"/>
      <c r="S364" s="5"/>
      <c r="T364" s="5"/>
      <c r="U364" s="5"/>
    </row>
    <row r="365" spans="1:21" x14ac:dyDescent="0.25">
      <c r="C365" s="5"/>
      <c r="D365" s="5"/>
      <c r="E365" s="5"/>
      <c r="F365" s="5"/>
      <c r="H365" s="22"/>
      <c r="I365" s="22"/>
      <c r="J365" s="22"/>
      <c r="K365" s="56"/>
      <c r="L365" s="56"/>
      <c r="M365" s="22"/>
      <c r="N365" s="22"/>
      <c r="O365" s="22"/>
      <c r="P365" s="22"/>
      <c r="Q365" s="10"/>
      <c r="R365" s="10"/>
      <c r="S365" s="5"/>
      <c r="T365" s="5"/>
      <c r="U365" s="5"/>
    </row>
    <row r="366" spans="1:21" x14ac:dyDescent="0.25">
      <c r="C366" s="5"/>
      <c r="D366" s="5"/>
      <c r="E366" s="5"/>
      <c r="F366" s="5"/>
      <c r="G366" s="26"/>
      <c r="H366" s="22"/>
      <c r="I366" s="22"/>
      <c r="J366" s="22"/>
      <c r="K366" s="56"/>
      <c r="L366" s="56"/>
      <c r="M366" s="22"/>
      <c r="N366" s="22"/>
      <c r="O366" s="22"/>
      <c r="P366" s="22"/>
      <c r="Q366" s="10"/>
      <c r="R366" s="10"/>
      <c r="S366" s="5"/>
      <c r="T366" s="5"/>
      <c r="U366" s="5"/>
    </row>
    <row r="367" spans="1:21" x14ac:dyDescent="0.25">
      <c r="C367" s="5"/>
      <c r="D367" s="5"/>
      <c r="E367" s="5"/>
      <c r="F367" s="5"/>
      <c r="G367" s="26"/>
      <c r="H367" s="22"/>
      <c r="I367" s="22"/>
      <c r="J367" s="22"/>
      <c r="K367" s="56"/>
      <c r="L367" s="56"/>
      <c r="M367" s="22"/>
      <c r="N367" s="22"/>
      <c r="O367" s="10"/>
      <c r="P367" s="10"/>
      <c r="Q367" s="10"/>
      <c r="R367" s="10"/>
      <c r="S367" s="5"/>
      <c r="T367" s="5"/>
      <c r="U367" s="5"/>
    </row>
    <row r="368" spans="1:21" x14ac:dyDescent="0.25">
      <c r="C368" s="5"/>
      <c r="D368" s="5"/>
      <c r="E368" s="5"/>
      <c r="F368" s="5"/>
      <c r="G368" s="26"/>
      <c r="H368" s="22"/>
      <c r="I368" s="22"/>
      <c r="J368" s="22"/>
      <c r="K368" s="56"/>
      <c r="L368" s="56"/>
      <c r="M368" s="22"/>
      <c r="N368" s="22"/>
      <c r="O368" s="22"/>
      <c r="P368" s="10"/>
      <c r="Q368" s="10"/>
      <c r="R368" s="10"/>
      <c r="S368" s="5"/>
      <c r="T368" s="5"/>
      <c r="U368" s="5"/>
    </row>
    <row r="369" spans="3:21" x14ac:dyDescent="0.25">
      <c r="C369" s="5"/>
      <c r="D369" s="5"/>
      <c r="E369" s="5"/>
      <c r="F369" s="5"/>
      <c r="G369" s="26"/>
      <c r="H369" s="22"/>
      <c r="I369" s="22"/>
      <c r="J369" s="22"/>
      <c r="K369" s="22"/>
      <c r="L369" s="22"/>
      <c r="M369" s="22"/>
      <c r="N369" s="22"/>
      <c r="O369" s="10"/>
      <c r="P369" s="10"/>
      <c r="Q369" s="10"/>
      <c r="R369" s="10"/>
      <c r="S369" s="5"/>
      <c r="T369" s="5"/>
      <c r="U369" s="5"/>
    </row>
    <row r="370" spans="3:21" x14ac:dyDescent="0.25">
      <c r="C370" s="5"/>
      <c r="D370" s="5"/>
      <c r="E370" s="5"/>
      <c r="F370" s="5"/>
      <c r="G370" s="26"/>
      <c r="H370" s="22"/>
      <c r="I370" s="22"/>
      <c r="J370" s="22"/>
      <c r="K370" s="22"/>
      <c r="L370" s="22"/>
      <c r="M370" s="22"/>
      <c r="N370" s="22"/>
      <c r="O370" s="10"/>
      <c r="P370" s="10"/>
      <c r="Q370" s="10"/>
      <c r="R370" s="10"/>
      <c r="S370" s="5"/>
      <c r="T370" s="5"/>
      <c r="U370" s="5"/>
    </row>
    <row r="371" spans="3:21" x14ac:dyDescent="0.25">
      <c r="C371" s="5"/>
      <c r="D371" s="5"/>
      <c r="E371" s="5"/>
      <c r="F371" s="5"/>
      <c r="G371" s="26"/>
      <c r="H371" s="22"/>
      <c r="I371" s="22"/>
      <c r="J371" s="22"/>
      <c r="K371" s="22"/>
      <c r="L371" s="22"/>
      <c r="M371" s="22"/>
      <c r="N371" s="22"/>
      <c r="O371" s="10"/>
      <c r="P371" s="10"/>
      <c r="Q371" s="10"/>
      <c r="R371" s="10"/>
      <c r="S371" s="5"/>
      <c r="T371" s="5"/>
      <c r="U371" s="5"/>
    </row>
    <row r="372" spans="3:21" x14ac:dyDescent="0.25">
      <c r="C372" s="5"/>
      <c r="D372" s="5"/>
      <c r="E372" s="5"/>
      <c r="F372" s="5"/>
      <c r="G372" s="26"/>
      <c r="H372" s="22"/>
      <c r="I372" s="22"/>
      <c r="J372" s="22"/>
      <c r="K372" s="22"/>
      <c r="L372" s="22"/>
      <c r="M372" s="22"/>
      <c r="N372" s="22"/>
      <c r="O372" s="10"/>
      <c r="P372" s="10"/>
      <c r="Q372" s="10"/>
      <c r="R372" s="10"/>
      <c r="S372" s="5"/>
      <c r="T372" s="5"/>
      <c r="U372" s="5"/>
    </row>
    <row r="373" spans="3:21" x14ac:dyDescent="0.25">
      <c r="C373" s="5"/>
      <c r="D373" s="5"/>
      <c r="E373" s="5"/>
      <c r="F373" s="5"/>
      <c r="H373" s="22"/>
      <c r="I373" s="22"/>
      <c r="J373" s="22"/>
      <c r="K373" s="22"/>
      <c r="L373" s="22"/>
      <c r="M373" s="22"/>
      <c r="N373" s="22"/>
      <c r="O373" s="10"/>
      <c r="P373" s="10"/>
      <c r="Q373" s="10"/>
      <c r="R373" s="10"/>
      <c r="U373" s="5"/>
    </row>
    <row r="374" spans="3:21" x14ac:dyDescent="0.25">
      <c r="C374" s="5"/>
      <c r="D374" s="5"/>
      <c r="E374" s="5"/>
      <c r="F374" s="5"/>
      <c r="G374" s="26"/>
      <c r="H374" s="22"/>
      <c r="I374" s="22"/>
      <c r="J374" s="22"/>
      <c r="K374" s="22"/>
      <c r="L374" s="22"/>
      <c r="M374" s="22"/>
      <c r="N374" s="22"/>
      <c r="O374" s="10"/>
      <c r="P374" s="10"/>
      <c r="Q374" s="10"/>
      <c r="R374" s="10"/>
      <c r="U374" s="5"/>
    </row>
    <row r="375" spans="3:21" x14ac:dyDescent="0.25">
      <c r="C375" s="5"/>
      <c r="D375" s="5"/>
      <c r="E375" s="5"/>
      <c r="F375" s="5"/>
      <c r="G375" s="26"/>
      <c r="H375" s="22"/>
      <c r="I375" s="22"/>
      <c r="J375" s="22"/>
      <c r="K375" s="22"/>
      <c r="L375" s="22"/>
      <c r="M375" s="22"/>
      <c r="N375" s="22"/>
      <c r="O375" s="10"/>
      <c r="P375" s="10"/>
      <c r="Q375" s="10"/>
      <c r="R375" s="10"/>
      <c r="U375" s="5"/>
    </row>
    <row r="376" spans="3:21" x14ac:dyDescent="0.25">
      <c r="C376" s="5"/>
      <c r="D376" s="5"/>
      <c r="E376" s="5"/>
      <c r="F376" s="5"/>
      <c r="G376" s="26"/>
      <c r="H376" s="22"/>
      <c r="I376" s="22"/>
      <c r="J376" s="22"/>
      <c r="K376" s="22"/>
      <c r="L376" s="22"/>
      <c r="M376" s="22"/>
      <c r="N376" s="22"/>
      <c r="O376" s="10"/>
      <c r="P376" s="10"/>
      <c r="Q376" s="10"/>
      <c r="R376" s="10"/>
      <c r="U376" s="5"/>
    </row>
    <row r="377" spans="3:21" x14ac:dyDescent="0.25">
      <c r="C377" s="5"/>
      <c r="D377" s="5"/>
      <c r="E377" s="5"/>
      <c r="F377" s="5"/>
      <c r="G377" s="26"/>
      <c r="H377" s="10"/>
      <c r="I377" s="10"/>
      <c r="J377" s="10"/>
      <c r="K377" s="10"/>
      <c r="L377" s="10"/>
      <c r="M377" s="10"/>
      <c r="N377" s="10"/>
      <c r="O377" s="89" t="s">
        <v>57</v>
      </c>
      <c r="P377" s="89"/>
      <c r="Q377" s="10"/>
      <c r="R377" s="10"/>
      <c r="U377" s="5"/>
    </row>
    <row r="378" spans="3:21" x14ac:dyDescent="0.25">
      <c r="C378" s="5"/>
      <c r="D378" s="5"/>
      <c r="E378" s="5"/>
      <c r="F378" s="5"/>
      <c r="H378" s="22"/>
      <c r="I378" s="22"/>
      <c r="J378" s="22"/>
      <c r="K378" s="22"/>
      <c r="L378" s="22"/>
      <c r="M378" s="22"/>
      <c r="N378" s="22"/>
      <c r="O378" s="22" t="s">
        <v>58</v>
      </c>
      <c r="P378" s="22">
        <f>(B378+B379+B380+B381+B382+B383+B384+B385+B386+B387+B388+B389)/12</f>
        <v>0</v>
      </c>
      <c r="Q378" s="10"/>
      <c r="R378" s="10"/>
      <c r="U378" s="5"/>
    </row>
    <row r="379" spans="3:21" x14ac:dyDescent="0.25">
      <c r="C379" s="5"/>
      <c r="D379" s="5"/>
      <c r="E379" s="5"/>
      <c r="F379" s="5"/>
      <c r="G379" s="26"/>
      <c r="H379" s="22"/>
      <c r="I379" s="22"/>
      <c r="J379" s="22"/>
      <c r="K379" s="22"/>
      <c r="L379" s="22"/>
      <c r="M379" s="22"/>
      <c r="N379" s="22"/>
      <c r="O379" s="22" t="s">
        <v>59</v>
      </c>
      <c r="P379" s="22">
        <f>(((B378-P378)^2+(B379-P378)^2+(B380-P378)^2+(B381-P378)^2+(B382-P378)^2+(B383-P378)^2+(B384-P378)^2+(B385-P378)^2+(B386-P378)^2+(B387-P378)^2+(B388-P378)^2+(B389-P378)^2)/(12-1))^0.5</f>
        <v>0</v>
      </c>
      <c r="Q379" s="10"/>
      <c r="R379" s="10"/>
      <c r="U379" s="5"/>
    </row>
    <row r="380" spans="3:21" x14ac:dyDescent="0.25">
      <c r="C380" s="5"/>
      <c r="D380" s="5"/>
      <c r="E380" s="5"/>
      <c r="F380" s="5"/>
      <c r="G380" s="26"/>
      <c r="H380" s="22"/>
      <c r="I380" s="22"/>
      <c r="J380" s="22"/>
      <c r="K380" s="22"/>
      <c r="L380" s="22"/>
      <c r="M380" s="22"/>
      <c r="N380" s="22"/>
      <c r="O380" s="10"/>
      <c r="P380" s="10"/>
      <c r="Q380" s="10"/>
      <c r="R380" s="10"/>
      <c r="U380" s="5"/>
    </row>
    <row r="381" spans="3:21" x14ac:dyDescent="0.25">
      <c r="C381" s="5"/>
      <c r="D381" s="5"/>
      <c r="E381" s="5"/>
      <c r="F381" s="5"/>
      <c r="G381" s="26"/>
      <c r="H381" s="22"/>
      <c r="I381" s="22"/>
      <c r="J381" s="22"/>
      <c r="K381" s="22"/>
      <c r="L381" s="22"/>
      <c r="M381" s="22"/>
      <c r="N381" s="22"/>
      <c r="O381" s="22" t="e">
        <f>PERCENTILE(B378:B389,0.75)</f>
        <v>#NUM!</v>
      </c>
      <c r="P381" s="10"/>
      <c r="Q381" s="10"/>
      <c r="R381" s="10"/>
      <c r="U381" s="5"/>
    </row>
    <row r="382" spans="3:21" x14ac:dyDescent="0.25">
      <c r="C382" s="5"/>
      <c r="D382" s="5"/>
      <c r="E382" s="5"/>
      <c r="F382" s="5"/>
      <c r="G382" s="26"/>
      <c r="H382" s="22"/>
      <c r="I382" s="22"/>
      <c r="J382" s="22"/>
      <c r="K382" s="22"/>
      <c r="L382" s="22"/>
      <c r="M382" s="22"/>
      <c r="N382" s="22"/>
      <c r="O382" s="10"/>
      <c r="P382" s="10"/>
      <c r="Q382" s="10"/>
      <c r="R382" s="10"/>
      <c r="U382" s="5"/>
    </row>
    <row r="383" spans="3:21" x14ac:dyDescent="0.25">
      <c r="C383" s="5"/>
      <c r="D383" s="5"/>
      <c r="E383" s="5"/>
      <c r="F383" s="5"/>
      <c r="G383" s="26"/>
      <c r="H383" s="22"/>
      <c r="I383" s="22"/>
      <c r="J383" s="22"/>
      <c r="K383" s="22"/>
      <c r="L383" s="22"/>
      <c r="M383" s="22"/>
      <c r="N383" s="22"/>
      <c r="O383" s="10"/>
      <c r="P383" s="10"/>
      <c r="Q383" s="10"/>
      <c r="R383" s="10"/>
      <c r="U383" s="5"/>
    </row>
    <row r="384" spans="3:21" x14ac:dyDescent="0.25">
      <c r="C384" s="5"/>
      <c r="D384" s="5"/>
      <c r="E384" s="5"/>
      <c r="F384" s="5"/>
      <c r="G384" s="26"/>
      <c r="H384" s="22"/>
      <c r="I384" s="22"/>
      <c r="J384" s="22"/>
      <c r="K384" s="22"/>
      <c r="L384" s="22"/>
      <c r="M384" s="22"/>
      <c r="N384" s="22"/>
      <c r="O384" s="10"/>
      <c r="P384" s="10"/>
      <c r="Q384" s="10"/>
      <c r="R384" s="10"/>
      <c r="U384" s="5"/>
    </row>
    <row r="385" spans="1:21" x14ac:dyDescent="0.25">
      <c r="C385" s="5"/>
      <c r="D385" s="5"/>
      <c r="E385" s="5"/>
      <c r="F385" s="5"/>
      <c r="G385" s="26"/>
      <c r="H385" s="22"/>
      <c r="I385" s="22"/>
      <c r="J385" s="22"/>
      <c r="K385" s="22"/>
      <c r="L385" s="22"/>
      <c r="M385" s="22"/>
      <c r="N385" s="22"/>
      <c r="O385" s="10"/>
      <c r="P385" s="10"/>
      <c r="Q385" s="10"/>
      <c r="R385" s="10"/>
      <c r="U385" s="5"/>
    </row>
    <row r="386" spans="1:21" x14ac:dyDescent="0.25">
      <c r="C386" s="5"/>
      <c r="D386" s="5"/>
      <c r="E386" s="5"/>
      <c r="F386" s="5"/>
      <c r="G386" s="26"/>
      <c r="H386" s="22"/>
      <c r="I386" s="22"/>
      <c r="J386" s="22"/>
      <c r="K386" s="22"/>
      <c r="L386" s="22"/>
      <c r="M386" s="22"/>
      <c r="N386" s="22"/>
      <c r="O386" s="10"/>
      <c r="P386" s="10"/>
      <c r="Q386" s="10"/>
      <c r="R386" s="10"/>
      <c r="U386" s="5"/>
    </row>
    <row r="387" spans="1:21" x14ac:dyDescent="0.25">
      <c r="C387" s="5"/>
      <c r="D387" s="5"/>
      <c r="E387" s="5"/>
      <c r="F387" s="5"/>
      <c r="G387" s="26"/>
      <c r="H387" s="22"/>
      <c r="I387" s="22"/>
      <c r="J387" s="22"/>
      <c r="K387" s="22"/>
      <c r="L387" s="22"/>
      <c r="M387" s="22"/>
      <c r="N387" s="22"/>
      <c r="O387" s="10"/>
      <c r="P387" s="10"/>
      <c r="Q387" s="10"/>
      <c r="R387" s="10"/>
      <c r="U387" s="5"/>
    </row>
    <row r="388" spans="1:21" x14ac:dyDescent="0.25">
      <c r="C388" s="5"/>
      <c r="D388" s="5"/>
      <c r="E388" s="5"/>
      <c r="F388" s="5"/>
      <c r="G388" s="26"/>
      <c r="H388" s="22"/>
      <c r="I388" s="22"/>
      <c r="J388" s="22"/>
      <c r="K388" s="22"/>
      <c r="L388" s="22"/>
      <c r="M388" s="22"/>
      <c r="N388" s="22"/>
      <c r="O388" s="10"/>
      <c r="P388" s="10"/>
      <c r="Q388" s="10"/>
      <c r="R388" s="10"/>
      <c r="U388" s="5"/>
    </row>
    <row r="389" spans="1:21" x14ac:dyDescent="0.25">
      <c r="C389" s="5"/>
      <c r="D389" s="5"/>
      <c r="E389" s="5"/>
      <c r="F389" s="5"/>
      <c r="G389" s="26"/>
      <c r="H389" s="22"/>
      <c r="I389" s="22"/>
      <c r="J389" s="22"/>
      <c r="K389" s="22"/>
      <c r="L389" s="22"/>
      <c r="M389" s="22"/>
      <c r="N389" s="22"/>
      <c r="O389" s="10"/>
      <c r="P389" s="10"/>
      <c r="Q389" s="10"/>
      <c r="R389" s="10"/>
      <c r="U389" s="5"/>
    </row>
    <row r="390" spans="1:21" x14ac:dyDescent="0.25">
      <c r="C390" s="5"/>
      <c r="D390" s="5"/>
      <c r="E390" s="5"/>
      <c r="F390" s="5"/>
      <c r="G390" s="26"/>
      <c r="H390" s="10"/>
      <c r="I390" s="10"/>
      <c r="J390" s="10"/>
      <c r="K390" s="10"/>
      <c r="L390" s="10"/>
      <c r="M390" s="10"/>
      <c r="N390" s="10"/>
      <c r="O390" s="89" t="s">
        <v>57</v>
      </c>
      <c r="P390" s="89"/>
      <c r="Q390" s="10"/>
      <c r="R390" s="10"/>
      <c r="U390" s="5"/>
    </row>
    <row r="391" spans="1:21" x14ac:dyDescent="0.25">
      <c r="A391" s="8"/>
      <c r="G391" s="5"/>
      <c r="H391" s="22"/>
      <c r="I391" s="22"/>
      <c r="J391" s="22"/>
      <c r="K391" s="22"/>
      <c r="L391" s="22"/>
      <c r="M391" s="22"/>
      <c r="N391" s="22"/>
      <c r="O391" s="22" t="s">
        <v>58</v>
      </c>
      <c r="P391" s="22">
        <f>(B391+B392+B393+B394+B395+B396+B397+B398+B399+B400+B401+B402)/12</f>
        <v>0</v>
      </c>
      <c r="Q391" s="10"/>
      <c r="R391" s="10"/>
    </row>
    <row r="392" spans="1:21" x14ac:dyDescent="0.25">
      <c r="A392" s="8"/>
      <c r="H392" s="22"/>
      <c r="I392" s="22"/>
      <c r="J392" s="22"/>
      <c r="K392" s="22"/>
      <c r="L392" s="22"/>
      <c r="M392" s="22"/>
      <c r="N392" s="22"/>
      <c r="O392" s="22" t="s">
        <v>59</v>
      </c>
      <c r="P392" s="22">
        <f>(((B391-P391)^2+(B392-P391)^2+(B393-P391)^2+(B394-P391)^2+(B395-P391)^2+(B396-P391)^2+(B397-P391)^2+(B398-P391)^2+(B399-P391)^2+(B400-P391)^2+(B401-P391)^2+(B402-P391)^2)/(12-1))^0.5</f>
        <v>0</v>
      </c>
      <c r="Q392" s="10"/>
      <c r="R392" s="10"/>
    </row>
    <row r="393" spans="1:21" x14ac:dyDescent="0.25">
      <c r="A393" s="8"/>
      <c r="H393" s="22"/>
      <c r="I393" s="22"/>
      <c r="J393" s="22"/>
      <c r="K393" s="22"/>
      <c r="L393" s="22"/>
      <c r="M393" s="22"/>
      <c r="N393" s="22"/>
      <c r="O393" s="10"/>
      <c r="P393" s="10"/>
      <c r="Q393" s="10"/>
      <c r="R393" s="10"/>
    </row>
    <row r="394" spans="1:21" x14ac:dyDescent="0.25">
      <c r="A394" s="8"/>
      <c r="H394" s="22"/>
      <c r="I394" s="22"/>
      <c r="J394" s="22"/>
      <c r="K394" s="22"/>
      <c r="L394" s="22"/>
      <c r="M394" s="22"/>
      <c r="N394" s="22"/>
      <c r="O394" s="22" t="e">
        <f>PERCENTILE(B391:B402,0.75)</f>
        <v>#NUM!</v>
      </c>
      <c r="P394" s="10"/>
      <c r="Q394" s="10"/>
      <c r="R394" s="10"/>
    </row>
    <row r="395" spans="1:21" x14ac:dyDescent="0.25">
      <c r="A395" s="8"/>
      <c r="H395" s="22"/>
      <c r="I395" s="22"/>
      <c r="J395" s="22"/>
      <c r="K395" s="22"/>
      <c r="L395" s="22"/>
      <c r="M395" s="22"/>
      <c r="N395" s="22"/>
      <c r="O395" s="10"/>
      <c r="P395" s="10"/>
      <c r="Q395" s="10"/>
      <c r="R395" s="10"/>
    </row>
    <row r="396" spans="1:21" x14ac:dyDescent="0.25">
      <c r="A396" s="8"/>
      <c r="H396" s="22"/>
      <c r="I396" s="22"/>
      <c r="J396" s="22"/>
      <c r="K396" s="22"/>
      <c r="L396" s="22"/>
      <c r="M396" s="22"/>
      <c r="N396" s="22"/>
      <c r="O396" s="10"/>
      <c r="P396" s="10"/>
      <c r="Q396" s="10"/>
      <c r="R396" s="10"/>
    </row>
    <row r="397" spans="1:21" x14ac:dyDescent="0.25">
      <c r="A397" s="8"/>
      <c r="H397" s="22"/>
      <c r="I397" s="22"/>
      <c r="J397" s="22"/>
      <c r="K397" s="22"/>
      <c r="L397" s="22"/>
      <c r="M397" s="22"/>
      <c r="N397" s="22"/>
      <c r="O397" s="10"/>
      <c r="P397" s="10"/>
      <c r="Q397" s="10"/>
      <c r="R397" s="10"/>
    </row>
    <row r="398" spans="1:21" x14ac:dyDescent="0.25">
      <c r="A398" s="8"/>
      <c r="H398" s="22"/>
      <c r="I398" s="22"/>
      <c r="J398" s="22"/>
      <c r="K398" s="22"/>
      <c r="L398" s="22"/>
      <c r="M398" s="22"/>
      <c r="N398" s="22"/>
      <c r="O398" s="10"/>
      <c r="P398" s="10"/>
      <c r="Q398" s="10"/>
      <c r="R398" s="10"/>
    </row>
    <row r="399" spans="1:21" x14ac:dyDescent="0.25">
      <c r="A399" s="8"/>
      <c r="H399" s="22"/>
      <c r="I399" s="22"/>
      <c r="J399" s="22"/>
      <c r="K399" s="22"/>
      <c r="L399" s="22"/>
      <c r="M399" s="22"/>
      <c r="N399" s="22"/>
      <c r="O399" s="10"/>
      <c r="P399" s="10"/>
      <c r="Q399" s="10"/>
      <c r="R399" s="10"/>
    </row>
    <row r="400" spans="1:21" x14ac:dyDescent="0.25">
      <c r="A400" s="8"/>
      <c r="H400" s="22"/>
      <c r="I400" s="22"/>
      <c r="J400" s="22"/>
      <c r="K400" s="22"/>
      <c r="L400" s="22"/>
      <c r="M400" s="22"/>
      <c r="N400" s="22"/>
      <c r="O400" s="10"/>
      <c r="P400" s="10"/>
      <c r="Q400" s="10"/>
      <c r="R400" s="10"/>
    </row>
    <row r="401" spans="1:18" x14ac:dyDescent="0.25">
      <c r="A401" s="8"/>
      <c r="H401" s="22"/>
      <c r="I401" s="22"/>
      <c r="J401" s="22"/>
      <c r="K401" s="22"/>
      <c r="L401" s="22"/>
      <c r="M401" s="22"/>
      <c r="N401" s="22"/>
      <c r="O401" s="10"/>
      <c r="P401" s="10"/>
      <c r="Q401" s="10"/>
      <c r="R401" s="10"/>
    </row>
    <row r="402" spans="1:18" x14ac:dyDescent="0.25">
      <c r="A402" s="8"/>
      <c r="H402" s="22"/>
      <c r="I402" s="22"/>
      <c r="J402" s="22"/>
      <c r="K402" s="22"/>
      <c r="L402" s="22"/>
      <c r="M402" s="22"/>
      <c r="N402" s="22"/>
      <c r="O402" s="10"/>
      <c r="P402" s="10"/>
      <c r="Q402" s="10"/>
      <c r="R402" s="10"/>
    </row>
    <row r="403" spans="1:18" x14ac:dyDescent="0.25">
      <c r="A403" s="8"/>
      <c r="H403" s="10"/>
      <c r="I403" s="10"/>
      <c r="J403" s="10"/>
      <c r="K403" s="10"/>
      <c r="L403" s="10"/>
      <c r="M403" s="10"/>
      <c r="N403" s="10"/>
      <c r="O403" s="89" t="s">
        <v>57</v>
      </c>
      <c r="P403" s="89"/>
      <c r="Q403" s="10"/>
      <c r="R403" s="10"/>
    </row>
    <row r="404" spans="1:18" x14ac:dyDescent="0.25">
      <c r="A404" s="8"/>
      <c r="H404" s="22"/>
      <c r="I404" s="22"/>
      <c r="J404" s="22"/>
      <c r="K404" s="22"/>
      <c r="L404" s="22"/>
      <c r="M404" s="22"/>
      <c r="N404" s="22"/>
      <c r="O404" s="22" t="s">
        <v>58</v>
      </c>
      <c r="P404" s="22">
        <f>(B404+B405+B406+B407+B408+B409+B410+B411+B412+B413+B414+B415)/12</f>
        <v>0</v>
      </c>
      <c r="Q404" s="10"/>
      <c r="R404" s="10"/>
    </row>
    <row r="405" spans="1:18" x14ac:dyDescent="0.25">
      <c r="A405" s="8"/>
      <c r="H405" s="22"/>
      <c r="I405" s="22"/>
      <c r="J405" s="22"/>
      <c r="K405" s="22"/>
      <c r="L405" s="22"/>
      <c r="M405" s="22"/>
      <c r="N405" s="22"/>
      <c r="O405" s="22" t="s">
        <v>59</v>
      </c>
      <c r="P405" s="22">
        <f>(((B404-P404)^2+(B405-P404)^2+(B406-P404)^2+(B407-P404)^2+(B408-P404)^2+(B409-P404)^2+(B410-P404)^2+(B411-P404)^2+(B412-P404)^2+(B413-P404)^2+(B414-P404)^2+(B415-P404)^2)/(12-1))^0.5</f>
        <v>0</v>
      </c>
      <c r="Q405" s="10"/>
      <c r="R405" s="10"/>
    </row>
    <row r="406" spans="1:18" x14ac:dyDescent="0.25">
      <c r="A406" s="8"/>
      <c r="H406" s="22"/>
      <c r="I406" s="22"/>
      <c r="J406" s="22"/>
      <c r="K406" s="22"/>
      <c r="L406" s="22"/>
      <c r="M406" s="22"/>
      <c r="N406" s="22"/>
      <c r="O406" s="10"/>
      <c r="P406" s="10"/>
      <c r="Q406" s="10"/>
      <c r="R406" s="10"/>
    </row>
    <row r="407" spans="1:18" x14ac:dyDescent="0.25">
      <c r="A407" s="8"/>
      <c r="H407" s="22"/>
      <c r="I407" s="22"/>
      <c r="J407" s="22"/>
      <c r="K407" s="22"/>
      <c r="L407" s="22"/>
      <c r="M407" s="22"/>
      <c r="N407" s="22"/>
      <c r="O407" s="22" t="e">
        <f>PERCENTILE(B404:B415,0.75)</f>
        <v>#NUM!</v>
      </c>
      <c r="P407" s="10"/>
      <c r="Q407" s="10"/>
      <c r="R407" s="10"/>
    </row>
    <row r="408" spans="1:18" x14ac:dyDescent="0.25">
      <c r="A408" s="8"/>
      <c r="H408" s="22"/>
      <c r="I408" s="22"/>
      <c r="J408" s="22"/>
      <c r="K408" s="22"/>
      <c r="L408" s="22"/>
      <c r="M408" s="22"/>
      <c r="N408" s="22"/>
      <c r="O408" s="10"/>
      <c r="P408" s="10"/>
      <c r="Q408" s="10"/>
      <c r="R408" s="10"/>
    </row>
    <row r="409" spans="1:18" x14ac:dyDescent="0.25">
      <c r="A409" s="8"/>
      <c r="H409" s="22"/>
      <c r="I409" s="22"/>
      <c r="J409" s="22"/>
      <c r="K409" s="22"/>
      <c r="L409" s="22"/>
      <c r="M409" s="22"/>
      <c r="N409" s="22"/>
      <c r="O409" s="10"/>
      <c r="P409" s="10"/>
      <c r="Q409" s="10"/>
      <c r="R409" s="10"/>
    </row>
    <row r="410" spans="1:18" x14ac:dyDescent="0.25">
      <c r="A410" s="8"/>
      <c r="H410" s="22"/>
      <c r="I410" s="22"/>
      <c r="J410" s="22"/>
      <c r="K410" s="22"/>
      <c r="L410" s="22"/>
      <c r="M410" s="22"/>
      <c r="N410" s="22"/>
      <c r="O410" s="10"/>
      <c r="P410" s="10"/>
      <c r="Q410" s="10"/>
      <c r="R410" s="10"/>
    </row>
    <row r="411" spans="1:18" x14ac:dyDescent="0.25">
      <c r="A411" s="8"/>
      <c r="H411" s="22"/>
      <c r="I411" s="22"/>
      <c r="J411" s="22"/>
      <c r="K411" s="22"/>
      <c r="L411" s="22"/>
      <c r="M411" s="22"/>
      <c r="N411" s="22"/>
      <c r="O411" s="10"/>
      <c r="P411" s="10"/>
      <c r="Q411" s="10"/>
      <c r="R411" s="10"/>
    </row>
    <row r="412" spans="1:18" x14ac:dyDescent="0.25">
      <c r="A412" s="8"/>
      <c r="H412" s="22"/>
      <c r="I412" s="22"/>
      <c r="J412" s="22"/>
      <c r="K412" s="22"/>
      <c r="L412" s="22"/>
      <c r="M412" s="22"/>
      <c r="N412" s="22"/>
      <c r="O412" s="10"/>
      <c r="P412" s="10"/>
      <c r="Q412" s="10"/>
      <c r="R412" s="10"/>
    </row>
    <row r="413" spans="1:18" x14ac:dyDescent="0.25">
      <c r="A413" s="8"/>
      <c r="H413" s="22"/>
      <c r="I413" s="22"/>
      <c r="J413" s="22"/>
      <c r="K413" s="22"/>
      <c r="L413" s="22"/>
      <c r="M413" s="22"/>
      <c r="N413" s="22"/>
      <c r="O413" s="10"/>
      <c r="P413" s="10"/>
      <c r="Q413" s="10"/>
      <c r="R413" s="10"/>
    </row>
    <row r="414" spans="1:18" x14ac:dyDescent="0.25">
      <c r="A414" s="8"/>
      <c r="H414" s="22"/>
      <c r="I414" s="22"/>
      <c r="J414" s="22"/>
      <c r="K414" s="22"/>
      <c r="L414" s="22"/>
      <c r="M414" s="22"/>
      <c r="N414" s="22"/>
      <c r="O414" s="10"/>
      <c r="P414" s="10"/>
      <c r="Q414" s="10"/>
      <c r="R414" s="10"/>
    </row>
    <row r="415" spans="1:18" x14ac:dyDescent="0.25">
      <c r="A415" s="8"/>
      <c r="H415" s="22"/>
      <c r="I415" s="22"/>
      <c r="J415" s="22"/>
      <c r="K415" s="22"/>
      <c r="L415" s="22"/>
      <c r="M415" s="22"/>
      <c r="N415" s="22"/>
      <c r="O415" s="10"/>
      <c r="P415" s="10"/>
      <c r="Q415" s="10"/>
      <c r="R415" s="10"/>
    </row>
    <row r="416" spans="1:18" x14ac:dyDescent="0.25">
      <c r="A416" s="8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</row>
    <row r="417" spans="1:18" x14ac:dyDescent="0.25">
      <c r="A417" s="8"/>
      <c r="H417" s="22"/>
      <c r="I417" s="22"/>
      <c r="J417" s="22"/>
      <c r="K417" s="22"/>
      <c r="L417" s="22"/>
      <c r="M417" s="22"/>
      <c r="N417" s="22"/>
      <c r="O417" s="10"/>
      <c r="P417" s="10"/>
      <c r="Q417" s="10"/>
      <c r="R417" s="10"/>
    </row>
    <row r="418" spans="1:18" x14ac:dyDescent="0.25">
      <c r="A418" s="8"/>
      <c r="H418" s="22"/>
      <c r="I418" s="22"/>
      <c r="J418" s="22"/>
      <c r="K418" s="22"/>
      <c r="L418" s="22"/>
      <c r="M418" s="22"/>
      <c r="N418" s="22"/>
      <c r="O418" s="10"/>
      <c r="P418" s="10"/>
      <c r="Q418" s="10"/>
      <c r="R418" s="10"/>
    </row>
    <row r="419" spans="1:18" x14ac:dyDescent="0.25">
      <c r="A419" s="8"/>
      <c r="H419" s="22"/>
      <c r="I419" s="22"/>
      <c r="J419" s="22"/>
      <c r="K419" s="22"/>
      <c r="L419" s="22"/>
      <c r="M419" s="22"/>
      <c r="N419" s="22"/>
      <c r="O419" s="10"/>
      <c r="P419" s="10"/>
      <c r="Q419" s="10"/>
      <c r="R419" s="10"/>
    </row>
    <row r="420" spans="1:18" x14ac:dyDescent="0.25">
      <c r="A420" s="8"/>
      <c r="H420" s="22"/>
      <c r="I420" s="22"/>
      <c r="J420" s="22"/>
      <c r="K420" s="22"/>
      <c r="L420" s="22"/>
      <c r="M420" s="22"/>
      <c r="N420" s="22"/>
      <c r="O420" s="10"/>
      <c r="P420" s="10"/>
      <c r="Q420" s="10"/>
      <c r="R420" s="10"/>
    </row>
    <row r="421" spans="1:18" x14ac:dyDescent="0.25">
      <c r="A421" s="8"/>
      <c r="H421" s="22"/>
      <c r="I421" s="22"/>
      <c r="J421" s="22"/>
      <c r="K421" s="22"/>
      <c r="L421" s="22"/>
      <c r="M421" s="22"/>
      <c r="N421" s="22"/>
      <c r="O421" s="10"/>
      <c r="P421" s="10"/>
      <c r="Q421" s="10"/>
      <c r="R421" s="10"/>
    </row>
    <row r="422" spans="1:18" x14ac:dyDescent="0.25">
      <c r="A422" s="8"/>
      <c r="H422" s="22"/>
      <c r="I422" s="22"/>
      <c r="J422" s="22"/>
      <c r="K422" s="22"/>
      <c r="L422" s="22"/>
      <c r="M422" s="22"/>
      <c r="N422" s="22"/>
      <c r="O422" s="10"/>
      <c r="P422" s="10"/>
      <c r="Q422" s="10"/>
      <c r="R422" s="10"/>
    </row>
    <row r="423" spans="1:18" x14ac:dyDescent="0.25">
      <c r="A423" s="8"/>
      <c r="H423" s="22"/>
      <c r="I423" s="22"/>
      <c r="J423" s="22"/>
      <c r="K423" s="22"/>
      <c r="L423" s="22"/>
      <c r="M423" s="22"/>
      <c r="N423" s="22"/>
      <c r="O423" s="10"/>
      <c r="P423" s="10"/>
      <c r="Q423" s="10"/>
      <c r="R423" s="10"/>
    </row>
    <row r="424" spans="1:18" x14ac:dyDescent="0.25">
      <c r="A424" s="8"/>
      <c r="H424" s="22"/>
      <c r="I424" s="22"/>
      <c r="J424" s="22"/>
      <c r="K424" s="22"/>
      <c r="L424" s="22"/>
      <c r="M424" s="22"/>
      <c r="N424" s="22"/>
      <c r="O424" s="10"/>
      <c r="P424" s="10"/>
      <c r="Q424" s="10"/>
      <c r="R424" s="10"/>
    </row>
    <row r="425" spans="1:18" x14ac:dyDescent="0.25">
      <c r="A425" s="8"/>
      <c r="H425" s="22"/>
      <c r="I425" s="22"/>
      <c r="J425" s="22"/>
      <c r="K425" s="22"/>
      <c r="L425" s="22"/>
      <c r="M425" s="22"/>
      <c r="N425" s="22"/>
      <c r="O425" s="10"/>
      <c r="P425" s="10"/>
      <c r="Q425" s="10"/>
      <c r="R425" s="10"/>
    </row>
    <row r="426" spans="1:18" x14ac:dyDescent="0.25">
      <c r="A426" s="8"/>
      <c r="H426" s="22"/>
      <c r="I426" s="22"/>
      <c r="J426" s="22"/>
      <c r="K426" s="22"/>
      <c r="L426" s="22"/>
      <c r="M426" s="22"/>
      <c r="N426" s="22"/>
      <c r="O426" s="10"/>
      <c r="P426" s="10"/>
      <c r="Q426" s="10"/>
      <c r="R426" s="10"/>
    </row>
    <row r="427" spans="1:18" x14ac:dyDescent="0.25">
      <c r="A427" s="8"/>
      <c r="H427" s="22"/>
      <c r="I427" s="22"/>
      <c r="J427" s="22"/>
      <c r="K427" s="22"/>
      <c r="L427" s="22"/>
      <c r="M427" s="22"/>
      <c r="N427" s="22"/>
      <c r="O427" s="10"/>
      <c r="P427" s="10"/>
      <c r="Q427" s="10"/>
      <c r="R427" s="10"/>
    </row>
    <row r="428" spans="1:18" x14ac:dyDescent="0.25">
      <c r="A428" s="8"/>
      <c r="H428" s="22"/>
      <c r="I428" s="22"/>
      <c r="J428" s="22"/>
      <c r="K428" s="22"/>
      <c r="L428" s="22"/>
      <c r="M428" s="22"/>
      <c r="N428" s="22"/>
      <c r="O428" s="10"/>
      <c r="P428" s="10"/>
      <c r="Q428" s="10"/>
      <c r="R428" s="10"/>
    </row>
    <row r="429" spans="1:18" x14ac:dyDescent="0.25">
      <c r="A429" s="8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</row>
    <row r="430" spans="1:18" x14ac:dyDescent="0.25">
      <c r="A430" s="8"/>
      <c r="H430" s="22"/>
      <c r="I430" s="22"/>
      <c r="J430" s="22"/>
      <c r="K430" s="22"/>
      <c r="L430" s="22"/>
      <c r="M430" s="22"/>
      <c r="N430" s="22"/>
      <c r="O430" s="10"/>
      <c r="P430" s="10"/>
      <c r="Q430" s="10"/>
      <c r="R430" s="10"/>
    </row>
    <row r="431" spans="1:18" x14ac:dyDescent="0.25">
      <c r="A431" s="8"/>
      <c r="H431" s="22"/>
      <c r="I431" s="22"/>
      <c r="J431" s="22"/>
      <c r="K431" s="22"/>
      <c r="L431" s="22"/>
      <c r="M431" s="22"/>
      <c r="N431" s="22"/>
      <c r="O431" s="10"/>
      <c r="P431" s="10"/>
      <c r="Q431" s="10"/>
      <c r="R431" s="10"/>
    </row>
    <row r="432" spans="1:18" x14ac:dyDescent="0.25">
      <c r="A432" s="8"/>
      <c r="H432" s="22"/>
      <c r="I432" s="22"/>
      <c r="J432" s="22"/>
      <c r="K432" s="22"/>
      <c r="L432" s="22"/>
      <c r="M432" s="22"/>
      <c r="N432" s="22"/>
      <c r="O432" s="10"/>
      <c r="P432" s="10"/>
      <c r="Q432" s="10"/>
      <c r="R432" s="10"/>
    </row>
    <row r="433" spans="1:18" x14ac:dyDescent="0.25">
      <c r="A433" s="8"/>
      <c r="H433" s="22"/>
      <c r="I433" s="22"/>
      <c r="J433" s="22"/>
      <c r="K433" s="22"/>
      <c r="L433" s="22"/>
      <c r="M433" s="22"/>
      <c r="N433" s="22"/>
      <c r="O433" s="10"/>
      <c r="P433" s="10"/>
      <c r="Q433" s="10"/>
      <c r="R433" s="10"/>
    </row>
    <row r="434" spans="1:18" x14ac:dyDescent="0.25">
      <c r="H434" s="22"/>
      <c r="I434" s="22"/>
      <c r="J434" s="22"/>
      <c r="K434" s="22"/>
      <c r="L434" s="22"/>
      <c r="M434" s="22"/>
      <c r="N434" s="22"/>
      <c r="O434" s="10"/>
      <c r="P434" s="10"/>
      <c r="Q434" s="10"/>
      <c r="R434" s="10"/>
    </row>
    <row r="435" spans="1:18" x14ac:dyDescent="0.25">
      <c r="H435" s="22"/>
      <c r="I435" s="22"/>
      <c r="J435" s="22"/>
      <c r="K435" s="22"/>
      <c r="L435" s="22"/>
      <c r="M435" s="22"/>
      <c r="N435" s="22"/>
      <c r="O435" s="10"/>
      <c r="P435" s="10"/>
      <c r="Q435" s="10"/>
      <c r="R435" s="10"/>
    </row>
    <row r="436" spans="1:18" x14ac:dyDescent="0.25">
      <c r="H436" s="22"/>
      <c r="I436" s="22"/>
      <c r="J436" s="22"/>
      <c r="K436" s="22"/>
      <c r="L436" s="22"/>
      <c r="M436" s="22"/>
      <c r="N436" s="22"/>
      <c r="O436" s="10"/>
      <c r="P436" s="10"/>
      <c r="Q436" s="10"/>
      <c r="R436" s="10"/>
    </row>
    <row r="437" spans="1:18" x14ac:dyDescent="0.25">
      <c r="H437" s="22"/>
      <c r="I437" s="22"/>
      <c r="J437" s="22"/>
      <c r="K437" s="22"/>
      <c r="L437" s="22"/>
      <c r="M437" s="22"/>
      <c r="N437" s="22"/>
      <c r="O437" s="10"/>
      <c r="P437" s="10"/>
      <c r="Q437" s="10"/>
      <c r="R437" s="10"/>
    </row>
    <row r="438" spans="1:18" x14ac:dyDescent="0.25">
      <c r="H438" s="22"/>
      <c r="I438" s="22"/>
      <c r="J438" s="22"/>
      <c r="K438" s="22"/>
      <c r="L438" s="22"/>
      <c r="M438" s="22"/>
      <c r="N438" s="22"/>
      <c r="O438" s="10"/>
      <c r="P438" s="10"/>
      <c r="Q438" s="10"/>
      <c r="R438" s="10"/>
    </row>
    <row r="439" spans="1:18" x14ac:dyDescent="0.25">
      <c r="H439" s="22"/>
      <c r="I439" s="22"/>
      <c r="J439" s="22"/>
      <c r="K439" s="22"/>
      <c r="L439" s="22"/>
      <c r="M439" s="22"/>
      <c r="N439" s="22"/>
      <c r="O439" s="10"/>
      <c r="P439" s="10"/>
      <c r="Q439" s="10"/>
      <c r="R439" s="10"/>
    </row>
    <row r="440" spans="1:18" x14ac:dyDescent="0.25">
      <c r="H440" s="22"/>
      <c r="I440" s="22"/>
      <c r="J440" s="22"/>
      <c r="K440" s="22"/>
      <c r="L440" s="22"/>
      <c r="M440" s="22"/>
      <c r="N440" s="22"/>
      <c r="O440" s="10"/>
      <c r="P440" s="10"/>
      <c r="Q440" s="10"/>
      <c r="R440" s="10"/>
    </row>
    <row r="441" spans="1:18" x14ac:dyDescent="0.25">
      <c r="H441" s="22"/>
      <c r="I441" s="22"/>
      <c r="J441" s="22"/>
      <c r="K441" s="22"/>
      <c r="L441" s="22"/>
      <c r="M441" s="22"/>
      <c r="N441" s="22"/>
      <c r="O441" s="10"/>
      <c r="P441" s="10"/>
      <c r="Q441" s="10"/>
      <c r="R441" s="10"/>
    </row>
    <row r="442" spans="1:18" x14ac:dyDescent="0.25"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</row>
    <row r="443" spans="1:18" x14ac:dyDescent="0.25"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</row>
    <row r="444" spans="1:18" x14ac:dyDescent="0.25"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</row>
    <row r="445" spans="1:18" x14ac:dyDescent="0.25"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</row>
    <row r="446" spans="1:18" x14ac:dyDescent="0.25"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</row>
    <row r="447" spans="1:18" x14ac:dyDescent="0.25"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</row>
    <row r="448" spans="1:18" x14ac:dyDescent="0.25"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</row>
    <row r="449" spans="8:18" x14ac:dyDescent="0.25"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</row>
    <row r="450" spans="8:18" x14ac:dyDescent="0.25"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</row>
    <row r="451" spans="8:18" x14ac:dyDescent="0.25"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</row>
    <row r="452" spans="8:18" x14ac:dyDescent="0.25"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</row>
    <row r="453" spans="8:18" x14ac:dyDescent="0.25"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</row>
    <row r="454" spans="8:18" x14ac:dyDescent="0.25"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</row>
    <row r="455" spans="8:18" x14ac:dyDescent="0.25"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</row>
    <row r="456" spans="8:18" x14ac:dyDescent="0.25"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</row>
    <row r="457" spans="8:18" x14ac:dyDescent="0.25"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</row>
    <row r="458" spans="8:18" x14ac:dyDescent="0.25"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</row>
    <row r="459" spans="8:18" x14ac:dyDescent="0.25"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</row>
    <row r="460" spans="8:18" x14ac:dyDescent="0.25"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</row>
    <row r="461" spans="8:18" x14ac:dyDescent="0.25"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</row>
    <row r="462" spans="8:18" x14ac:dyDescent="0.25"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</row>
    <row r="463" spans="8:18" x14ac:dyDescent="0.25"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</row>
  </sheetData>
  <mergeCells count="377">
    <mergeCell ref="K13:M14"/>
    <mergeCell ref="F2:G2"/>
    <mergeCell ref="A15:C15"/>
    <mergeCell ref="F16:G16"/>
    <mergeCell ref="A17:C17"/>
    <mergeCell ref="F17:G17"/>
    <mergeCell ref="F15:G15"/>
    <mergeCell ref="F22:G22"/>
    <mergeCell ref="A16:C16"/>
    <mergeCell ref="C19:E19"/>
    <mergeCell ref="A21:C21"/>
    <mergeCell ref="F21:G21"/>
    <mergeCell ref="F18:G18"/>
    <mergeCell ref="C12:E12"/>
    <mergeCell ref="A13:C13"/>
    <mergeCell ref="F13:G13"/>
    <mergeCell ref="A14:C14"/>
    <mergeCell ref="F14:G14"/>
    <mergeCell ref="Q120:R120"/>
    <mergeCell ref="Q121:R121"/>
    <mergeCell ref="Q30:R30"/>
    <mergeCell ref="Q28:R28"/>
    <mergeCell ref="Q29:R29"/>
    <mergeCell ref="Q31:R31"/>
    <mergeCell ref="Q32:R32"/>
    <mergeCell ref="Q33:R33"/>
    <mergeCell ref="Q34:R34"/>
    <mergeCell ref="Q35:R35"/>
    <mergeCell ref="Q36:R36"/>
    <mergeCell ref="Q37:R37"/>
    <mergeCell ref="Q38:R38"/>
    <mergeCell ref="Q110:R110"/>
    <mergeCell ref="Q111:R111"/>
    <mergeCell ref="Q112:R112"/>
    <mergeCell ref="Q113:R113"/>
    <mergeCell ref="Q114:R114"/>
    <mergeCell ref="Q115:R115"/>
    <mergeCell ref="Q116:R116"/>
    <mergeCell ref="Q117:R117"/>
    <mergeCell ref="Q119:R119"/>
    <mergeCell ref="Q72:R72"/>
    <mergeCell ref="Q73:R73"/>
    <mergeCell ref="Q252:R252"/>
    <mergeCell ref="Q253:R253"/>
    <mergeCell ref="Q176:R176"/>
    <mergeCell ref="Q177:R177"/>
    <mergeCell ref="Q178:R178"/>
    <mergeCell ref="Q179:R179"/>
    <mergeCell ref="Q180:R180"/>
    <mergeCell ref="Q181:R181"/>
    <mergeCell ref="Q182:R182"/>
    <mergeCell ref="Q184:R184"/>
    <mergeCell ref="Q185:R185"/>
    <mergeCell ref="Q186:R186"/>
    <mergeCell ref="Q187:R187"/>
    <mergeCell ref="Q242:R242"/>
    <mergeCell ref="Q243:R243"/>
    <mergeCell ref="Q244:R244"/>
    <mergeCell ref="Q245:R245"/>
    <mergeCell ref="Q246:R246"/>
    <mergeCell ref="Q247:R247"/>
    <mergeCell ref="Q249:R249"/>
    <mergeCell ref="Q250:R250"/>
    <mergeCell ref="Q251:R251"/>
    <mergeCell ref="Q193:R193"/>
    <mergeCell ref="Q194:R194"/>
    <mergeCell ref="O377:P377"/>
    <mergeCell ref="O390:P390"/>
    <mergeCell ref="O403:P403"/>
    <mergeCell ref="O196:P196"/>
    <mergeCell ref="O209:P209"/>
    <mergeCell ref="O222:P222"/>
    <mergeCell ref="O40:P40"/>
    <mergeCell ref="O66:P66"/>
    <mergeCell ref="Q61:R61"/>
    <mergeCell ref="Q62:R62"/>
    <mergeCell ref="Q63:R63"/>
    <mergeCell ref="Q64:R64"/>
    <mergeCell ref="Q65:R65"/>
    <mergeCell ref="Q308:R308"/>
    <mergeCell ref="Q309:R309"/>
    <mergeCell ref="Q310:R310"/>
    <mergeCell ref="Q311:R311"/>
    <mergeCell ref="Q312:R312"/>
    <mergeCell ref="Q314:R314"/>
    <mergeCell ref="Q315:R315"/>
    <mergeCell ref="Q316:R316"/>
    <mergeCell ref="Q317:R317"/>
    <mergeCell ref="Q318:R318"/>
    <mergeCell ref="Q319:R319"/>
    <mergeCell ref="O27:P27"/>
    <mergeCell ref="Q39:R39"/>
    <mergeCell ref="Q44:R44"/>
    <mergeCell ref="Q45:R45"/>
    <mergeCell ref="Q46:R46"/>
    <mergeCell ref="Q47:R47"/>
    <mergeCell ref="Q48:R48"/>
    <mergeCell ref="Q49:R49"/>
    <mergeCell ref="Q50:R50"/>
    <mergeCell ref="Q27:R27"/>
    <mergeCell ref="F67:F78"/>
    <mergeCell ref="E54:E65"/>
    <mergeCell ref="F54:F65"/>
    <mergeCell ref="E41:E52"/>
    <mergeCell ref="F41:F52"/>
    <mergeCell ref="C28:C39"/>
    <mergeCell ref="C41:C52"/>
    <mergeCell ref="C54:C65"/>
    <mergeCell ref="C67:C78"/>
    <mergeCell ref="E67:E78"/>
    <mergeCell ref="E28:E39"/>
    <mergeCell ref="U60:W60"/>
    <mergeCell ref="Q54:R54"/>
    <mergeCell ref="Q55:R55"/>
    <mergeCell ref="Q56:R56"/>
    <mergeCell ref="Q57:R57"/>
    <mergeCell ref="Q58:R58"/>
    <mergeCell ref="Q59:R59"/>
    <mergeCell ref="Q60:R60"/>
    <mergeCell ref="F28:F39"/>
    <mergeCell ref="Q41:R41"/>
    <mergeCell ref="Q42:R42"/>
    <mergeCell ref="Q43:R43"/>
    <mergeCell ref="Q51:R51"/>
    <mergeCell ref="Q52:R52"/>
    <mergeCell ref="Q53:R53"/>
    <mergeCell ref="Q74:R74"/>
    <mergeCell ref="Q75:R75"/>
    <mergeCell ref="Q76:R76"/>
    <mergeCell ref="Q67:R67"/>
    <mergeCell ref="Q68:R68"/>
    <mergeCell ref="Q69:R69"/>
    <mergeCell ref="Q70:R70"/>
    <mergeCell ref="Q71:R71"/>
    <mergeCell ref="Q83:R83"/>
    <mergeCell ref="Q84:R84"/>
    <mergeCell ref="Q85:R85"/>
    <mergeCell ref="Q86:R86"/>
    <mergeCell ref="Q87:R87"/>
    <mergeCell ref="Q77:R77"/>
    <mergeCell ref="Q78:R78"/>
    <mergeCell ref="Q80:R80"/>
    <mergeCell ref="Q81:R81"/>
    <mergeCell ref="Q82:R82"/>
    <mergeCell ref="Q94:R94"/>
    <mergeCell ref="Q95:R95"/>
    <mergeCell ref="Q96:R96"/>
    <mergeCell ref="Q97:R97"/>
    <mergeCell ref="Q98:R98"/>
    <mergeCell ref="Q88:R88"/>
    <mergeCell ref="Q89:R89"/>
    <mergeCell ref="Q90:R90"/>
    <mergeCell ref="Q91:R91"/>
    <mergeCell ref="Q93:R93"/>
    <mergeCell ref="Q104:R104"/>
    <mergeCell ref="Q106:R106"/>
    <mergeCell ref="Q107:R107"/>
    <mergeCell ref="Q108:R108"/>
    <mergeCell ref="Q109:R109"/>
    <mergeCell ref="Q99:R99"/>
    <mergeCell ref="Q100:R100"/>
    <mergeCell ref="Q101:R101"/>
    <mergeCell ref="Q102:R102"/>
    <mergeCell ref="Q103:R103"/>
    <mergeCell ref="Q127:R127"/>
    <mergeCell ref="Q128:R128"/>
    <mergeCell ref="Q129:R129"/>
    <mergeCell ref="Q130:R130"/>
    <mergeCell ref="Q132:R132"/>
    <mergeCell ref="Q122:R122"/>
    <mergeCell ref="Q123:R123"/>
    <mergeCell ref="Q124:R124"/>
    <mergeCell ref="Q125:R125"/>
    <mergeCell ref="Q126:R126"/>
    <mergeCell ref="Q138:R138"/>
    <mergeCell ref="Q139:R139"/>
    <mergeCell ref="Q140:R140"/>
    <mergeCell ref="Q141:R141"/>
    <mergeCell ref="Q142:R142"/>
    <mergeCell ref="Q133:R133"/>
    <mergeCell ref="Q134:R134"/>
    <mergeCell ref="Q135:R135"/>
    <mergeCell ref="Q136:R136"/>
    <mergeCell ref="Q137:R137"/>
    <mergeCell ref="Q149:R149"/>
    <mergeCell ref="Q150:R150"/>
    <mergeCell ref="Q151:R151"/>
    <mergeCell ref="Q152:R152"/>
    <mergeCell ref="Q153:R153"/>
    <mergeCell ref="Q143:R143"/>
    <mergeCell ref="Q145:R145"/>
    <mergeCell ref="Q146:R146"/>
    <mergeCell ref="Q147:R147"/>
    <mergeCell ref="Q148:R148"/>
    <mergeCell ref="Q160:R160"/>
    <mergeCell ref="Q161:R161"/>
    <mergeCell ref="Q162:R162"/>
    <mergeCell ref="Q163:R163"/>
    <mergeCell ref="Q164:R164"/>
    <mergeCell ref="Q154:R154"/>
    <mergeCell ref="Q155:R155"/>
    <mergeCell ref="Q156:R156"/>
    <mergeCell ref="Q158:R158"/>
    <mergeCell ref="Q159:R159"/>
    <mergeCell ref="Q171:R171"/>
    <mergeCell ref="Q172:R172"/>
    <mergeCell ref="Q173:R173"/>
    <mergeCell ref="Q174:R174"/>
    <mergeCell ref="Q175:R175"/>
    <mergeCell ref="Q165:R165"/>
    <mergeCell ref="Q166:R166"/>
    <mergeCell ref="Q167:R167"/>
    <mergeCell ref="Q168:R168"/>
    <mergeCell ref="Q169:R169"/>
    <mergeCell ref="Q195:R195"/>
    <mergeCell ref="Q197:R197"/>
    <mergeCell ref="Q198:R198"/>
    <mergeCell ref="Q188:R188"/>
    <mergeCell ref="Q189:R189"/>
    <mergeCell ref="Q190:R190"/>
    <mergeCell ref="Q191:R191"/>
    <mergeCell ref="Q192:R192"/>
    <mergeCell ref="Q204:R204"/>
    <mergeCell ref="Q205:R205"/>
    <mergeCell ref="Q206:R206"/>
    <mergeCell ref="Q207:R207"/>
    <mergeCell ref="Q208:R208"/>
    <mergeCell ref="Q199:R199"/>
    <mergeCell ref="Q200:R200"/>
    <mergeCell ref="Q201:R201"/>
    <mergeCell ref="Q202:R202"/>
    <mergeCell ref="Q203:R203"/>
    <mergeCell ref="Q215:R215"/>
    <mergeCell ref="Q216:R216"/>
    <mergeCell ref="Q217:R217"/>
    <mergeCell ref="Q218:R218"/>
    <mergeCell ref="Q219:R219"/>
    <mergeCell ref="Q210:R210"/>
    <mergeCell ref="Q211:R211"/>
    <mergeCell ref="Q212:R212"/>
    <mergeCell ref="Q213:R213"/>
    <mergeCell ref="Q214:R214"/>
    <mergeCell ref="Q226:R226"/>
    <mergeCell ref="Q227:R227"/>
    <mergeCell ref="Q228:R228"/>
    <mergeCell ref="Q229:R229"/>
    <mergeCell ref="Q230:R230"/>
    <mergeCell ref="Q220:R220"/>
    <mergeCell ref="Q221:R221"/>
    <mergeCell ref="Q223:R223"/>
    <mergeCell ref="Q224:R224"/>
    <mergeCell ref="Q225:R225"/>
    <mergeCell ref="Q237:R237"/>
    <mergeCell ref="Q238:R238"/>
    <mergeCell ref="Q239:R239"/>
    <mergeCell ref="Q240:R240"/>
    <mergeCell ref="Q241:R241"/>
    <mergeCell ref="Q231:R231"/>
    <mergeCell ref="Q232:R232"/>
    <mergeCell ref="Q233:R233"/>
    <mergeCell ref="Q234:R234"/>
    <mergeCell ref="Q236:R236"/>
    <mergeCell ref="Q259:R259"/>
    <mergeCell ref="Q260:R260"/>
    <mergeCell ref="Q262:R262"/>
    <mergeCell ref="Q263:R263"/>
    <mergeCell ref="Q264:R264"/>
    <mergeCell ref="Q254:R254"/>
    <mergeCell ref="Q255:R255"/>
    <mergeCell ref="Q256:R256"/>
    <mergeCell ref="Q257:R257"/>
    <mergeCell ref="Q258:R258"/>
    <mergeCell ref="Q270:R270"/>
    <mergeCell ref="Q271:R271"/>
    <mergeCell ref="Q272:R272"/>
    <mergeCell ref="Q273:R273"/>
    <mergeCell ref="Q275:R275"/>
    <mergeCell ref="Q265:R265"/>
    <mergeCell ref="Q266:R266"/>
    <mergeCell ref="Q267:R267"/>
    <mergeCell ref="Q268:R268"/>
    <mergeCell ref="Q269:R269"/>
    <mergeCell ref="Q281:R281"/>
    <mergeCell ref="Q282:R282"/>
    <mergeCell ref="Q283:R283"/>
    <mergeCell ref="Q284:R284"/>
    <mergeCell ref="Q285:R285"/>
    <mergeCell ref="Q276:R276"/>
    <mergeCell ref="Q277:R277"/>
    <mergeCell ref="Q278:R278"/>
    <mergeCell ref="Q279:R279"/>
    <mergeCell ref="Q280:R280"/>
    <mergeCell ref="Q292:R292"/>
    <mergeCell ref="Q293:R293"/>
    <mergeCell ref="Q294:R294"/>
    <mergeCell ref="Q295:R295"/>
    <mergeCell ref="Q296:R296"/>
    <mergeCell ref="Q286:R286"/>
    <mergeCell ref="Q288:R288"/>
    <mergeCell ref="Q289:R289"/>
    <mergeCell ref="Q290:R290"/>
    <mergeCell ref="Q291:R291"/>
    <mergeCell ref="Q303:R303"/>
    <mergeCell ref="Q304:R304"/>
    <mergeCell ref="Q305:R305"/>
    <mergeCell ref="Q306:R306"/>
    <mergeCell ref="Q307:R307"/>
    <mergeCell ref="Q297:R297"/>
    <mergeCell ref="Q298:R298"/>
    <mergeCell ref="Q299:R299"/>
    <mergeCell ref="Q301:R301"/>
    <mergeCell ref="Q302:R302"/>
    <mergeCell ref="Q325:R325"/>
    <mergeCell ref="Q327:R327"/>
    <mergeCell ref="Q328:R328"/>
    <mergeCell ref="Q329:R329"/>
    <mergeCell ref="Q330:R330"/>
    <mergeCell ref="Q320:R320"/>
    <mergeCell ref="Q321:R321"/>
    <mergeCell ref="Q322:R322"/>
    <mergeCell ref="Q323:R323"/>
    <mergeCell ref="Q324:R324"/>
    <mergeCell ref="Q336:R336"/>
    <mergeCell ref="Q337:R337"/>
    <mergeCell ref="Q338:R338"/>
    <mergeCell ref="Q340:R340"/>
    <mergeCell ref="Q341:R341"/>
    <mergeCell ref="Q331:R331"/>
    <mergeCell ref="Q332:R332"/>
    <mergeCell ref="Q333:R333"/>
    <mergeCell ref="Q334:R334"/>
    <mergeCell ref="Q335:R335"/>
    <mergeCell ref="Q357:R357"/>
    <mergeCell ref="Q347:R347"/>
    <mergeCell ref="Q348:R348"/>
    <mergeCell ref="Q349:R349"/>
    <mergeCell ref="Q350:R350"/>
    <mergeCell ref="Q351:R351"/>
    <mergeCell ref="Q342:R342"/>
    <mergeCell ref="Q343:R343"/>
    <mergeCell ref="Q344:R344"/>
    <mergeCell ref="Q345:R345"/>
    <mergeCell ref="Q346:R346"/>
    <mergeCell ref="Q363:R363"/>
    <mergeCell ref="Q364:R364"/>
    <mergeCell ref="L25:M25"/>
    <mergeCell ref="L24:M24"/>
    <mergeCell ref="O53:P53"/>
    <mergeCell ref="Q66:R66"/>
    <mergeCell ref="O79:P79"/>
    <mergeCell ref="O92:P92"/>
    <mergeCell ref="O105:P105"/>
    <mergeCell ref="O118:P118"/>
    <mergeCell ref="O131:P131"/>
    <mergeCell ref="O144:P144"/>
    <mergeCell ref="O157:P157"/>
    <mergeCell ref="O170:P170"/>
    <mergeCell ref="O183:P183"/>
    <mergeCell ref="Q358:R358"/>
    <mergeCell ref="Q359:R359"/>
    <mergeCell ref="Q360:R360"/>
    <mergeCell ref="Q361:R361"/>
    <mergeCell ref="Q362:R362"/>
    <mergeCell ref="Q353:R353"/>
    <mergeCell ref="Q354:R354"/>
    <mergeCell ref="Q355:R355"/>
    <mergeCell ref="Q356:R356"/>
    <mergeCell ref="O300:P300"/>
    <mergeCell ref="O313:P313"/>
    <mergeCell ref="O326:P326"/>
    <mergeCell ref="O339:P339"/>
    <mergeCell ref="O352:P352"/>
    <mergeCell ref="O235:P235"/>
    <mergeCell ref="O248:P248"/>
    <mergeCell ref="O261:P261"/>
    <mergeCell ref="O274:P274"/>
    <mergeCell ref="O287:P28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AA465"/>
  <sheetViews>
    <sheetView tabSelected="1" topLeftCell="F75" zoomScale="85" zoomScaleNormal="85" workbookViewId="0">
      <selection activeCell="F82" sqref="F82:F93"/>
    </sheetView>
  </sheetViews>
  <sheetFormatPr baseColWidth="10" defaultRowHeight="15" x14ac:dyDescent="0.25"/>
  <cols>
    <col min="1" max="1" width="13" customWidth="1"/>
    <col min="2" max="2" width="13.140625" customWidth="1"/>
    <col min="3" max="3" width="13.85546875" customWidth="1"/>
    <col min="4" max="4" width="15" customWidth="1"/>
    <col min="5" max="5" width="19.7109375" customWidth="1"/>
    <col min="6" max="6" width="17.42578125" customWidth="1"/>
    <col min="7" max="7" width="13.85546875" customWidth="1"/>
    <col min="8" max="8" width="18.140625" customWidth="1"/>
    <col min="9" max="9" width="20" customWidth="1"/>
    <col min="10" max="10" width="14" customWidth="1"/>
    <col min="11" max="11" width="25.85546875" customWidth="1"/>
    <col min="12" max="12" width="23.7109375" customWidth="1"/>
    <col min="15" max="15" width="21.42578125" customWidth="1"/>
    <col min="16" max="16" width="20.28515625" customWidth="1"/>
    <col min="17" max="17" width="13.85546875" customWidth="1"/>
    <col min="18" max="18" width="15.5703125" customWidth="1"/>
    <col min="19" max="19" width="12.85546875" customWidth="1"/>
    <col min="20" max="20" width="12.42578125" customWidth="1"/>
  </cols>
  <sheetData>
    <row r="1" spans="1:21" x14ac:dyDescent="0.25">
      <c r="M1" t="s">
        <v>96</v>
      </c>
    </row>
    <row r="2" spans="1:21" x14ac:dyDescent="0.25">
      <c r="F2" s="90" t="s">
        <v>49</v>
      </c>
      <c r="G2" s="90"/>
      <c r="H2" s="82"/>
      <c r="I2" s="5"/>
      <c r="J2" s="90" t="s">
        <v>94</v>
      </c>
      <c r="K2" s="90"/>
      <c r="M2">
        <f t="shared" ref="M2:M13" si="0">(B30-$K$3)^3</f>
        <v>54835.907916087963</v>
      </c>
    </row>
    <row r="3" spans="1:21" x14ac:dyDescent="0.25">
      <c r="G3" s="5"/>
      <c r="H3" s="5"/>
      <c r="I3" s="5"/>
      <c r="J3" s="5" t="s">
        <v>95</v>
      </c>
      <c r="K3" s="5">
        <f>AVERAGE(B30:B41)</f>
        <v>52.208333333333336</v>
      </c>
      <c r="M3">
        <f t="shared" si="0"/>
        <v>174598.77039525457</v>
      </c>
    </row>
    <row r="4" spans="1:21" x14ac:dyDescent="0.25">
      <c r="F4" s="5"/>
      <c r="G4" s="5"/>
      <c r="H4" s="5"/>
      <c r="I4" s="5"/>
      <c r="J4" s="5" t="s">
        <v>66</v>
      </c>
      <c r="K4">
        <v>66.610788893164269</v>
      </c>
      <c r="M4">
        <f t="shared" si="0"/>
        <v>1070337.5560619209</v>
      </c>
    </row>
    <row r="5" spans="1:21" x14ac:dyDescent="0.25">
      <c r="F5" s="5"/>
      <c r="G5" s="5"/>
      <c r="H5" s="5"/>
      <c r="I5" s="5"/>
      <c r="M5">
        <f t="shared" si="0"/>
        <v>2161282.8216869207</v>
      </c>
    </row>
    <row r="6" spans="1:21" x14ac:dyDescent="0.25">
      <c r="F6" s="5" t="s">
        <v>38</v>
      </c>
      <c r="G6" s="5"/>
      <c r="H6" s="5"/>
      <c r="I6" s="5"/>
      <c r="J6" s="5" t="s">
        <v>97</v>
      </c>
      <c r="K6">
        <f>(12*SUM(M2:M13))/((B30-1)*(B31-1))*K4^3</f>
        <v>976334943.81474447</v>
      </c>
      <c r="M6">
        <f t="shared" si="0"/>
        <v>3938.0742910879612</v>
      </c>
    </row>
    <row r="7" spans="1:21" x14ac:dyDescent="0.25">
      <c r="F7" s="5" t="s">
        <v>55</v>
      </c>
      <c r="G7" s="5"/>
      <c r="H7" s="5"/>
      <c r="I7" s="5"/>
      <c r="J7" s="5"/>
      <c r="M7">
        <f t="shared" si="0"/>
        <v>-114850.31512557872</v>
      </c>
    </row>
    <row r="8" spans="1:21" x14ac:dyDescent="0.25">
      <c r="F8" s="5" t="s">
        <v>39</v>
      </c>
      <c r="G8" s="5"/>
      <c r="H8" s="5"/>
      <c r="I8" s="5"/>
      <c r="J8" s="5"/>
      <c r="M8">
        <f t="shared" si="0"/>
        <v>-142304.77987557874</v>
      </c>
    </row>
    <row r="9" spans="1:21" x14ac:dyDescent="0.25">
      <c r="F9" s="5" t="s">
        <v>56</v>
      </c>
      <c r="G9" s="5"/>
      <c r="H9" s="5"/>
      <c r="I9" s="5"/>
      <c r="J9" s="5"/>
      <c r="M9">
        <f t="shared" si="0"/>
        <v>-133498.12189641205</v>
      </c>
    </row>
    <row r="10" spans="1:21" x14ac:dyDescent="0.25">
      <c r="F10" s="5"/>
      <c r="G10" s="5"/>
      <c r="H10" s="5"/>
      <c r="I10" s="5"/>
      <c r="J10" s="5"/>
      <c r="M10">
        <f t="shared" si="0"/>
        <v>-142304.77987557874</v>
      </c>
    </row>
    <row r="11" spans="1:21" x14ac:dyDescent="0.25">
      <c r="F11" s="5"/>
      <c r="G11" s="5"/>
      <c r="H11" s="5"/>
      <c r="I11" s="5"/>
      <c r="J11" s="5"/>
      <c r="M11">
        <f t="shared" si="0"/>
        <v>-142304.77987557874</v>
      </c>
    </row>
    <row r="12" spans="1:21" x14ac:dyDescent="0.25">
      <c r="M12">
        <f t="shared" si="0"/>
        <v>-51929.907021412051</v>
      </c>
    </row>
    <row r="13" spans="1:21" x14ac:dyDescent="0.25">
      <c r="H13" s="40" t="s">
        <v>51</v>
      </c>
      <c r="I13" s="82" t="s">
        <v>52</v>
      </c>
      <c r="M13">
        <f t="shared" si="0"/>
        <v>-107906.82991724538</v>
      </c>
    </row>
    <row r="14" spans="1:21" x14ac:dyDescent="0.25">
      <c r="C14" s="115" t="s">
        <v>25</v>
      </c>
      <c r="D14" s="116"/>
      <c r="E14" s="117"/>
      <c r="H14" s="83" t="s">
        <v>0</v>
      </c>
      <c r="I14" s="84">
        <v>31</v>
      </c>
      <c r="J14" s="84"/>
    </row>
    <row r="15" spans="1:21" x14ac:dyDescent="0.25">
      <c r="A15" s="107" t="s">
        <v>16</v>
      </c>
      <c r="B15" s="108"/>
      <c r="C15" s="109"/>
      <c r="D15" s="85" t="s">
        <v>17</v>
      </c>
      <c r="E15" s="85" t="s">
        <v>18</v>
      </c>
      <c r="F15" s="94" t="s">
        <v>19</v>
      </c>
      <c r="G15" s="94"/>
      <c r="H15" s="83" t="s">
        <v>1</v>
      </c>
      <c r="I15" s="84">
        <v>28</v>
      </c>
      <c r="J15" s="84">
        <v>29</v>
      </c>
      <c r="K15" s="97" t="s">
        <v>53</v>
      </c>
      <c r="L15" s="97"/>
      <c r="M15" s="97"/>
      <c r="N15" s="5"/>
      <c r="O15" s="5"/>
      <c r="P15" s="5"/>
      <c r="Q15" s="5"/>
      <c r="R15" s="5"/>
      <c r="S15" s="5"/>
      <c r="T15" s="5"/>
      <c r="U15" s="5"/>
    </row>
    <row r="16" spans="1:21" ht="15" customHeight="1" x14ac:dyDescent="0.25">
      <c r="A16" s="118" t="s">
        <v>20</v>
      </c>
      <c r="B16" s="119"/>
      <c r="C16" s="120"/>
      <c r="D16" s="86">
        <v>0.85192000000000001</v>
      </c>
      <c r="E16" s="3">
        <v>0.6</v>
      </c>
      <c r="F16" s="99">
        <v>0.51114999999999999</v>
      </c>
      <c r="G16" s="99"/>
      <c r="H16" s="83" t="s">
        <v>2</v>
      </c>
      <c r="I16" s="84">
        <v>31</v>
      </c>
      <c r="J16" s="84"/>
      <c r="K16" s="97"/>
      <c r="L16" s="97"/>
      <c r="M16" s="97"/>
      <c r="N16" s="5" t="s">
        <v>82</v>
      </c>
      <c r="O16" s="5"/>
      <c r="P16" s="5"/>
      <c r="Q16" s="5"/>
      <c r="R16" s="5"/>
      <c r="U16" s="5"/>
    </row>
    <row r="17" spans="1:26" x14ac:dyDescent="0.25">
      <c r="A17" s="107" t="s">
        <v>22</v>
      </c>
      <c r="B17" s="108"/>
      <c r="C17" s="109"/>
      <c r="D17" s="3">
        <v>7.5000000000000002E-4</v>
      </c>
      <c r="E17" s="3">
        <v>0.9</v>
      </c>
      <c r="F17" s="99">
        <v>6.8000000000000005E-4</v>
      </c>
      <c r="G17" s="99"/>
      <c r="H17" s="83" t="s">
        <v>3</v>
      </c>
      <c r="I17" s="84">
        <v>30</v>
      </c>
      <c r="J17" s="84"/>
      <c r="K17" s="5"/>
      <c r="L17" s="5"/>
      <c r="M17" s="5"/>
      <c r="N17" s="5" t="s">
        <v>83</v>
      </c>
      <c r="O17" s="5"/>
      <c r="P17" s="5"/>
      <c r="Q17" s="5"/>
      <c r="R17" s="5"/>
      <c r="S17" s="5"/>
      <c r="T17" s="5"/>
      <c r="U17" s="5"/>
    </row>
    <row r="18" spans="1:26" x14ac:dyDescent="0.25">
      <c r="A18" s="107" t="s">
        <v>23</v>
      </c>
      <c r="B18" s="108"/>
      <c r="C18" s="109"/>
      <c r="D18" s="3">
        <v>3.47E-3</v>
      </c>
      <c r="E18" s="3">
        <v>0.5</v>
      </c>
      <c r="F18" s="99">
        <v>1.74E-3</v>
      </c>
      <c r="G18" s="99"/>
      <c r="H18" s="83" t="s">
        <v>4</v>
      </c>
      <c r="I18" s="84">
        <v>31</v>
      </c>
      <c r="J18" s="84"/>
      <c r="K18" s="5"/>
      <c r="L18" s="5"/>
      <c r="M18" s="5"/>
      <c r="N18" s="5" t="s">
        <v>84</v>
      </c>
      <c r="O18" s="5"/>
      <c r="P18" s="5"/>
      <c r="Q18" s="5"/>
      <c r="R18" s="5"/>
      <c r="S18" s="5"/>
      <c r="T18" s="5"/>
      <c r="U18" s="5"/>
    </row>
    <row r="19" spans="1:26" x14ac:dyDescent="0.25">
      <c r="A19" s="107" t="s">
        <v>24</v>
      </c>
      <c r="B19" s="108"/>
      <c r="C19" s="109"/>
      <c r="D19" s="3">
        <v>0.14385999999999999</v>
      </c>
      <c r="E19" s="3">
        <v>0.4</v>
      </c>
      <c r="F19" s="99">
        <v>5.7540000000000001E-2</v>
      </c>
      <c r="G19" s="99"/>
      <c r="H19" s="83" t="s">
        <v>5</v>
      </c>
      <c r="I19" s="84">
        <v>30</v>
      </c>
      <c r="J19" s="84"/>
      <c r="K19" s="5"/>
      <c r="L19" s="5"/>
      <c r="M19" s="5"/>
      <c r="N19" s="5" t="s">
        <v>85</v>
      </c>
      <c r="O19" s="5"/>
      <c r="P19" s="5"/>
      <c r="Q19" s="5"/>
      <c r="R19" s="5"/>
      <c r="S19" s="5"/>
      <c r="T19" s="5"/>
      <c r="U19" s="5"/>
    </row>
    <row r="20" spans="1:26" x14ac:dyDescent="0.25">
      <c r="A20" s="6"/>
      <c r="B20" s="6"/>
      <c r="C20" s="6"/>
      <c r="D20" s="6"/>
      <c r="E20" s="6"/>
      <c r="F20" s="101">
        <v>0.6</v>
      </c>
      <c r="G20" s="101"/>
      <c r="H20" s="83" t="s">
        <v>6</v>
      </c>
      <c r="I20" s="84">
        <v>31</v>
      </c>
      <c r="J20" s="84"/>
      <c r="K20" s="5"/>
      <c r="L20" s="5"/>
      <c r="M20" s="5"/>
      <c r="N20" s="5" t="s">
        <v>86</v>
      </c>
      <c r="O20" s="5"/>
      <c r="P20" s="5"/>
      <c r="Q20" s="5"/>
      <c r="R20" s="5"/>
      <c r="S20" s="5"/>
      <c r="T20" s="5"/>
      <c r="U20" s="5"/>
    </row>
    <row r="21" spans="1:26" x14ac:dyDescent="0.25">
      <c r="A21" s="5"/>
      <c r="B21" s="5"/>
      <c r="C21" s="110" t="s">
        <v>34</v>
      </c>
      <c r="D21" s="111"/>
      <c r="E21" s="112"/>
      <c r="F21" s="5"/>
      <c r="G21" s="5"/>
      <c r="H21" s="83" t="s">
        <v>7</v>
      </c>
      <c r="I21" s="84">
        <v>31</v>
      </c>
      <c r="J21" s="84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6" x14ac:dyDescent="0.25">
      <c r="A22" s="7" t="s">
        <v>26</v>
      </c>
      <c r="B22" s="7"/>
      <c r="C22" s="7"/>
      <c r="D22" s="7" t="s">
        <v>17</v>
      </c>
      <c r="E22" s="7" t="s">
        <v>27</v>
      </c>
      <c r="F22" s="7" t="s">
        <v>19</v>
      </c>
      <c r="G22" s="7"/>
      <c r="H22" s="83" t="s">
        <v>8</v>
      </c>
      <c r="I22" s="84">
        <v>30</v>
      </c>
      <c r="J22" s="84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:26" x14ac:dyDescent="0.25">
      <c r="A23" s="107" t="s">
        <v>32</v>
      </c>
      <c r="B23" s="108"/>
      <c r="C23" s="109"/>
      <c r="D23" s="9">
        <v>1</v>
      </c>
      <c r="E23" s="9">
        <v>0.8</v>
      </c>
      <c r="F23" s="113">
        <v>0.8</v>
      </c>
      <c r="G23" s="114"/>
      <c r="H23" s="83" t="s">
        <v>9</v>
      </c>
      <c r="I23" s="84">
        <v>31</v>
      </c>
      <c r="J23" s="84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1:26" x14ac:dyDescent="0.25">
      <c r="A24" s="6"/>
      <c r="B24" s="6"/>
      <c r="C24" s="6"/>
      <c r="D24" s="13"/>
      <c r="E24" s="13"/>
      <c r="F24" s="100">
        <f>SUM(F23)</f>
        <v>0.8</v>
      </c>
      <c r="G24" s="100"/>
      <c r="H24" s="83" t="s">
        <v>10</v>
      </c>
      <c r="I24" s="84">
        <v>30</v>
      </c>
      <c r="J24" s="84"/>
      <c r="K24" s="5"/>
      <c r="L24" s="5"/>
      <c r="M24" s="5"/>
      <c r="N24" s="5"/>
      <c r="Q24" s="5"/>
      <c r="R24" s="5"/>
      <c r="S24" s="5"/>
      <c r="T24" s="5"/>
      <c r="U24" s="5"/>
    </row>
    <row r="25" spans="1:26" x14ac:dyDescent="0.25">
      <c r="A25" s="6"/>
      <c r="B25" s="6"/>
      <c r="C25" s="6"/>
      <c r="D25" s="13"/>
      <c r="E25" s="13"/>
      <c r="F25" s="6"/>
      <c r="G25" s="6"/>
      <c r="H25" s="83" t="s">
        <v>11</v>
      </c>
      <c r="I25" s="84">
        <v>31</v>
      </c>
      <c r="J25" s="84"/>
      <c r="K25" s="5"/>
      <c r="L25" s="5" t="s">
        <v>98</v>
      </c>
      <c r="M25" s="5">
        <f>AVERAGE(B30:B41)</f>
        <v>52.208333333333336</v>
      </c>
      <c r="N25" s="5"/>
      <c r="Q25" s="5"/>
      <c r="R25" s="5"/>
      <c r="T25" s="82"/>
      <c r="U25" s="82"/>
      <c r="V25" s="5"/>
      <c r="W25" s="5"/>
      <c r="X25" s="5"/>
      <c r="Y25" s="5"/>
      <c r="Z25" s="5"/>
    </row>
    <row r="26" spans="1:26" ht="18.75" x14ac:dyDescent="0.3">
      <c r="A26" s="6"/>
      <c r="B26" s="6"/>
      <c r="C26" s="6"/>
      <c r="D26" s="13"/>
      <c r="E26" s="13"/>
      <c r="F26" s="6"/>
      <c r="G26" s="6"/>
      <c r="H26" s="37"/>
      <c r="I26" s="37"/>
      <c r="J26" s="37"/>
      <c r="K26" s="37"/>
      <c r="L26" s="91" t="s">
        <v>64</v>
      </c>
      <c r="M26" s="91"/>
      <c r="N26" s="55"/>
      <c r="O26" s="37"/>
      <c r="R26" s="5"/>
      <c r="S26" s="5"/>
      <c r="T26" s="5"/>
      <c r="U26" s="82"/>
      <c r="V26" s="5"/>
      <c r="W26" s="5"/>
      <c r="X26" s="5"/>
      <c r="Y26" s="5"/>
      <c r="Z26" s="5"/>
    </row>
    <row r="27" spans="1:26" ht="18.75" x14ac:dyDescent="0.3">
      <c r="A27" s="6"/>
      <c r="B27" s="6"/>
      <c r="C27" s="6"/>
      <c r="D27" s="13"/>
      <c r="E27" s="13"/>
      <c r="F27" s="6"/>
      <c r="G27" s="6"/>
      <c r="H27" s="44" t="s">
        <v>71</v>
      </c>
      <c r="J27" s="44"/>
      <c r="K27" s="44"/>
      <c r="L27" s="91" t="s">
        <v>65</v>
      </c>
      <c r="M27" s="91"/>
      <c r="N27" s="55"/>
      <c r="O27" s="20"/>
      <c r="R27" s="5"/>
      <c r="S27" s="5"/>
      <c r="T27" s="5"/>
      <c r="U27" s="82"/>
      <c r="V27" s="5"/>
      <c r="W27" s="5"/>
      <c r="X27" s="5"/>
      <c r="Y27" s="5"/>
      <c r="Z27" s="5"/>
    </row>
    <row r="28" spans="1:26" ht="18.75" x14ac:dyDescent="0.3">
      <c r="A28" s="6"/>
      <c r="B28" s="23" t="s">
        <v>54</v>
      </c>
      <c r="C28" s="19" t="s">
        <v>48</v>
      </c>
      <c r="D28" s="77" t="s">
        <v>88</v>
      </c>
      <c r="E28" s="78" t="s">
        <v>89</v>
      </c>
      <c r="F28" s="79" t="s">
        <v>90</v>
      </c>
      <c r="G28" s="43" t="s">
        <v>50</v>
      </c>
      <c r="H28" s="48" t="s">
        <v>87</v>
      </c>
      <c r="I28" s="49" t="s">
        <v>91</v>
      </c>
      <c r="J28" s="20"/>
      <c r="K28" s="20"/>
      <c r="L28" s="20"/>
      <c r="M28" s="35" t="s">
        <v>63</v>
      </c>
      <c r="N28" s="20"/>
      <c r="O28" t="s">
        <v>81</v>
      </c>
      <c r="R28" s="5"/>
      <c r="S28" s="5"/>
      <c r="T28" s="82"/>
      <c r="U28" s="5"/>
      <c r="V28" s="5"/>
      <c r="W28" s="5"/>
      <c r="X28" s="5"/>
      <c r="Y28" s="5"/>
    </row>
    <row r="29" spans="1:26" x14ac:dyDescent="0.25">
      <c r="A29" s="24" t="s">
        <v>12</v>
      </c>
      <c r="B29" s="29">
        <v>1980</v>
      </c>
      <c r="C29" s="29">
        <v>1980</v>
      </c>
      <c r="D29" s="29">
        <v>1980</v>
      </c>
      <c r="E29" s="29">
        <v>1980</v>
      </c>
      <c r="F29" s="29">
        <v>1980</v>
      </c>
      <c r="G29" s="29">
        <v>1980</v>
      </c>
      <c r="H29" s="29">
        <v>1980</v>
      </c>
      <c r="I29" s="29">
        <v>1980</v>
      </c>
      <c r="J29" s="47" t="s">
        <v>70</v>
      </c>
      <c r="K29" s="49" t="s">
        <v>61</v>
      </c>
      <c r="L29" s="49" t="s">
        <v>62</v>
      </c>
      <c r="M29" s="39" t="s">
        <v>60</v>
      </c>
      <c r="N29" s="39" t="s">
        <v>73</v>
      </c>
      <c r="O29" s="105" t="s">
        <v>57</v>
      </c>
      <c r="P29" s="105"/>
      <c r="Q29" s="90" t="s">
        <v>76</v>
      </c>
      <c r="R29" s="90"/>
      <c r="S29" s="82"/>
      <c r="T29" s="82"/>
      <c r="U29" s="5"/>
      <c r="V29" s="5"/>
      <c r="W29" s="5"/>
      <c r="X29" s="5"/>
      <c r="Y29" s="5"/>
    </row>
    <row r="30" spans="1:26" ht="15" customHeight="1" x14ac:dyDescent="0.25">
      <c r="A30" s="82" t="s">
        <v>0</v>
      </c>
      <c r="B30" s="30">
        <v>90.2</v>
      </c>
      <c r="C30" s="95" t="s">
        <v>80</v>
      </c>
      <c r="D30" s="34"/>
      <c r="E30" s="95" t="s">
        <v>80</v>
      </c>
      <c r="F30" s="95" t="s">
        <v>79</v>
      </c>
      <c r="G30" s="26">
        <f>(5.01*(B30^0.59)*Z$71)/(86.4*I$14)</f>
        <v>11.101951713578703</v>
      </c>
      <c r="H30" s="81">
        <f>(($K$30*(EXP(1))^($L$30*N30))/1000)*$Z$71</f>
        <v>41.329619450083783</v>
      </c>
      <c r="I30" s="42">
        <f>((L$32^(J30-(0.6458446*LN(P$36))-(9.53942*N30*(P$36/P$35))+(4.8904*N30)))/1000)*$Z$71</f>
        <v>10.181483114912648</v>
      </c>
      <c r="J30" s="87">
        <v>4.7</v>
      </c>
      <c r="K30" s="83">
        <f>(10^-8)*((P37/P36)^-7.2474)</f>
        <v>29.509636822269936</v>
      </c>
      <c r="L30" s="83">
        <f>(-3.2951*(P36/P35))+5.33</f>
        <v>3.7483520000000001</v>
      </c>
      <c r="M30" s="83">
        <f t="shared" ref="M30:M41" si="1">(B30-(0.74*P$31))</f>
        <v>40.908016219058446</v>
      </c>
      <c r="N30" s="10">
        <f>M30/Q30</f>
        <v>0.32338352742338694</v>
      </c>
      <c r="O30" s="50" t="s">
        <v>58</v>
      </c>
      <c r="P30" s="82">
        <f>(B30+B31+B32+B33+B34+B35+B36+B37+B38+B39+B40+B41)/12</f>
        <v>52.208333333333336</v>
      </c>
      <c r="Q30" s="89">
        <v>126.5</v>
      </c>
      <c r="R30" s="89"/>
      <c r="S30" s="82"/>
      <c r="T30" s="82"/>
      <c r="U30" s="5"/>
      <c r="V30" s="5"/>
      <c r="W30" s="5"/>
      <c r="X30" s="5"/>
      <c r="Y30" s="5"/>
    </row>
    <row r="31" spans="1:26" x14ac:dyDescent="0.25">
      <c r="A31" s="82" t="s">
        <v>1</v>
      </c>
      <c r="B31" s="30">
        <v>108.1</v>
      </c>
      <c r="C31" s="95"/>
      <c r="D31" s="34"/>
      <c r="E31" s="95"/>
      <c r="F31" s="95"/>
      <c r="G31" s="26">
        <f>(5.01*(B31^0.59)*Z$71)/(86.4*J$15)</f>
        <v>13.205301833223086</v>
      </c>
      <c r="H31" s="81">
        <f t="shared" ref="H31:H41" si="2">(($K$30*(EXP(1))^($L$30*N31))/1000)*$Z$71</f>
        <v>84.177235596754613</v>
      </c>
      <c r="I31" s="42">
        <f t="shared" ref="I31:I41" si="3">((L$32^(J31-(0.6458446*LN(P$36))-(9.53942*N31*(P$36/P$35))+(4.8904*N31)))/1000)*$Z$71</f>
        <v>10.801463520148653</v>
      </c>
      <c r="J31" s="87">
        <v>4.7</v>
      </c>
      <c r="K31" s="83"/>
      <c r="L31" s="83"/>
      <c r="M31" s="83">
        <f t="shared" si="1"/>
        <v>58.808016219058437</v>
      </c>
      <c r="N31" s="10">
        <f t="shared" ref="N31:N41" si="4">M31/Q31</f>
        <v>0.51315895479108586</v>
      </c>
      <c r="O31" s="50" t="s">
        <v>66</v>
      </c>
      <c r="P31" s="83">
        <f>((((B30-P30)^2+(B31-P30)^2+(B32-P30)^2+(B33-P30)^2+(B34-P30)^2+(B35-P30)^2+(B36-P30)^2+(B37-P30)^2+(B38-P30)^2+(B39-P30)^2+(B40-P30)^2+(B41-P30)^2))/(12-1))^0.5</f>
        <v>66.610788893164269</v>
      </c>
      <c r="Q31" s="89">
        <v>114.6</v>
      </c>
      <c r="R31" s="89"/>
      <c r="S31" s="82"/>
      <c r="T31" s="82"/>
      <c r="U31" s="5"/>
      <c r="V31" s="5"/>
      <c r="W31" s="5"/>
      <c r="X31" s="5"/>
      <c r="Y31" s="5"/>
    </row>
    <row r="32" spans="1:26" x14ac:dyDescent="0.25">
      <c r="A32" s="82" t="s">
        <v>2</v>
      </c>
      <c r="B32" s="30">
        <v>154.5</v>
      </c>
      <c r="C32" s="95"/>
      <c r="D32" s="33">
        <v>13652</v>
      </c>
      <c r="E32" s="95"/>
      <c r="F32" s="95"/>
      <c r="G32" s="26">
        <f>(5.01*(B32^0.59)*Z$71)/(86.4*I$16)</f>
        <v>15.250893290787561</v>
      </c>
      <c r="H32" s="81">
        <f t="shared" si="2"/>
        <v>253.06130776605306</v>
      </c>
      <c r="I32" s="42">
        <f t="shared" si="3"/>
        <v>11.836021786195261</v>
      </c>
      <c r="J32" s="87">
        <v>4.7</v>
      </c>
      <c r="K32" s="83" t="s">
        <v>72</v>
      </c>
      <c r="L32" s="10">
        <f>EXP(1)</f>
        <v>2.7182818284590451</v>
      </c>
      <c r="M32" s="83">
        <f t="shared" si="1"/>
        <v>105.20801621905844</v>
      </c>
      <c r="N32" s="10">
        <f t="shared" si="4"/>
        <v>0.8068099403302027</v>
      </c>
      <c r="O32" s="83"/>
      <c r="P32" s="83"/>
      <c r="Q32" s="89">
        <v>130.4</v>
      </c>
      <c r="R32" s="89"/>
      <c r="S32" s="82"/>
      <c r="T32" s="82"/>
      <c r="U32" s="5"/>
      <c r="V32" s="5"/>
      <c r="W32" s="5"/>
      <c r="X32" s="5"/>
      <c r="Y32" s="5"/>
    </row>
    <row r="33" spans="1:25" x14ac:dyDescent="0.25">
      <c r="A33" s="82" t="s">
        <v>3</v>
      </c>
      <c r="B33" s="30">
        <v>181.5</v>
      </c>
      <c r="C33" s="95"/>
      <c r="D33" s="34">
        <v>15.85</v>
      </c>
      <c r="E33" s="95"/>
      <c r="F33" s="95"/>
      <c r="G33" s="26">
        <f>(5.01*(B33^0.59)*Z$71)/(86.4*I$17)</f>
        <v>17.330261957494798</v>
      </c>
      <c r="H33" s="81">
        <f t="shared" si="2"/>
        <v>590.52010121183196</v>
      </c>
      <c r="I33" s="42">
        <f t="shared" si="3"/>
        <v>12.699492064685929</v>
      </c>
      <c r="J33" s="87">
        <v>4.7</v>
      </c>
      <c r="K33" s="83"/>
      <c r="L33" s="83"/>
      <c r="M33" s="83">
        <f t="shared" si="1"/>
        <v>132.20801621905844</v>
      </c>
      <c r="N33" s="10">
        <f t="shared" si="4"/>
        <v>1.032875126711394</v>
      </c>
      <c r="O33" s="83"/>
      <c r="P33" s="83"/>
      <c r="Q33" s="89">
        <v>128</v>
      </c>
      <c r="R33" s="89"/>
      <c r="S33" s="82"/>
      <c r="T33" s="82"/>
      <c r="U33" s="5"/>
      <c r="V33" s="5"/>
      <c r="W33" s="5"/>
      <c r="X33" s="5"/>
      <c r="Y33" s="5"/>
    </row>
    <row r="34" spans="1:25" x14ac:dyDescent="0.25">
      <c r="A34" s="82" t="s">
        <v>4</v>
      </c>
      <c r="B34" s="30">
        <v>68</v>
      </c>
      <c r="C34" s="95"/>
      <c r="D34" s="33">
        <v>10312</v>
      </c>
      <c r="E34" s="95"/>
      <c r="F34" s="95"/>
      <c r="G34" s="26">
        <f>(5.01*(B34^0.59)*Z$71)/(86.4*I$18)</f>
        <v>9.3974004860895022</v>
      </c>
      <c r="H34" s="81">
        <f t="shared" si="2"/>
        <v>21.688285332468759</v>
      </c>
      <c r="I34" s="42">
        <f t="shared" si="3"/>
        <v>9.6502987696984874</v>
      </c>
      <c r="J34" s="87">
        <v>4.7</v>
      </c>
      <c r="K34" s="83"/>
      <c r="L34" s="83"/>
      <c r="M34" s="83">
        <f t="shared" si="1"/>
        <v>18.708016219058443</v>
      </c>
      <c r="N34" s="10">
        <f t="shared" si="4"/>
        <v>0.15135935452312657</v>
      </c>
      <c r="O34" s="83"/>
      <c r="P34" s="83"/>
      <c r="Q34" s="89">
        <v>123.6</v>
      </c>
      <c r="R34" s="89"/>
      <c r="S34" s="82"/>
      <c r="T34" s="82"/>
      <c r="U34" s="5"/>
      <c r="V34" s="5"/>
      <c r="W34" s="5"/>
      <c r="X34" s="5"/>
      <c r="Y34" s="5"/>
    </row>
    <row r="35" spans="1:25" ht="17.25" customHeight="1" x14ac:dyDescent="0.3">
      <c r="A35" s="82" t="s">
        <v>5</v>
      </c>
      <c r="B35" s="30">
        <v>3.6</v>
      </c>
      <c r="C35" s="95"/>
      <c r="D35" s="33">
        <v>3067</v>
      </c>
      <c r="E35" s="95"/>
      <c r="F35" s="95"/>
      <c r="G35" s="26">
        <f>(5.01*(B35^0.59)*Z$71)/(86.4*I$19)</f>
        <v>1.7150879336851585</v>
      </c>
      <c r="H35" s="81">
        <f t="shared" si="2"/>
        <v>2.5736312484441322</v>
      </c>
      <c r="I35" s="42">
        <f t="shared" si="3"/>
        <v>3.632316141815719</v>
      </c>
      <c r="J35" s="87">
        <v>3.9</v>
      </c>
      <c r="K35" s="35" t="s">
        <v>92</v>
      </c>
      <c r="L35" s="83"/>
      <c r="M35" s="83">
        <f t="shared" si="1"/>
        <v>-45.691983780941555</v>
      </c>
      <c r="N35" s="10">
        <f t="shared" si="4"/>
        <v>-0.41727839069353018</v>
      </c>
      <c r="O35" s="51" t="s">
        <v>67</v>
      </c>
      <c r="P35" s="83">
        <v>25</v>
      </c>
      <c r="Q35" s="89">
        <v>109.5</v>
      </c>
      <c r="R35" s="89"/>
      <c r="S35" s="82"/>
      <c r="T35" s="82"/>
      <c r="U35" s="5"/>
      <c r="V35" s="5"/>
      <c r="W35" s="5"/>
      <c r="X35" s="5"/>
      <c r="Y35" s="5"/>
    </row>
    <row r="36" spans="1:25" ht="17.25" customHeight="1" x14ac:dyDescent="0.25">
      <c r="A36" s="82" t="s">
        <v>6</v>
      </c>
      <c r="B36" s="30">
        <v>0</v>
      </c>
      <c r="C36" s="95"/>
      <c r="D36" s="34">
        <v>0.68100000000000005</v>
      </c>
      <c r="E36" s="95"/>
      <c r="F36" s="95"/>
      <c r="G36" s="26">
        <f>(5.01*(B36^0.59)*Z$71)/(86.4*I$20)</f>
        <v>0</v>
      </c>
      <c r="H36" s="81">
        <f t="shared" si="2"/>
        <v>2.1342373727039941</v>
      </c>
      <c r="I36" s="42">
        <f t="shared" si="3"/>
        <v>0.79796859218652949</v>
      </c>
      <c r="J36" s="87">
        <v>2.4</v>
      </c>
      <c r="K36" s="56"/>
      <c r="L36" s="83"/>
      <c r="M36" s="83">
        <f t="shared" si="1"/>
        <v>-49.291983780941557</v>
      </c>
      <c r="N36" s="10">
        <f t="shared" si="4"/>
        <v>-0.46722259508001474</v>
      </c>
      <c r="O36" s="51" t="s">
        <v>68</v>
      </c>
      <c r="P36" s="83">
        <v>12</v>
      </c>
      <c r="Q36" s="89">
        <v>105.5</v>
      </c>
      <c r="R36" s="89"/>
      <c r="S36" s="82"/>
      <c r="T36" s="82"/>
      <c r="U36" s="5"/>
      <c r="V36" s="5"/>
      <c r="W36" s="5"/>
      <c r="X36" s="5"/>
      <c r="Y36" s="5"/>
    </row>
    <row r="37" spans="1:25" ht="31.5" customHeight="1" x14ac:dyDescent="0.3">
      <c r="A37" s="82" t="s">
        <v>7</v>
      </c>
      <c r="B37" s="30">
        <v>1.1000000000000001</v>
      </c>
      <c r="C37" s="95"/>
      <c r="D37" s="34">
        <v>0.441</v>
      </c>
      <c r="E37" s="95"/>
      <c r="F37" s="95"/>
      <c r="G37" s="26">
        <f>(5.01*(B37^0.59)*Z$71)/(86.4*I$21)</f>
        <v>0.82461107093750996</v>
      </c>
      <c r="H37" s="81">
        <f t="shared" si="2"/>
        <v>2.1760080356088056</v>
      </c>
      <c r="I37" s="42">
        <f t="shared" si="3"/>
        <v>0.21782236389620613</v>
      </c>
      <c r="J37" s="87">
        <v>1.1000000000000001</v>
      </c>
      <c r="K37" s="35" t="s">
        <v>93</v>
      </c>
      <c r="L37" s="83"/>
      <c r="M37" s="83">
        <f t="shared" si="1"/>
        <v>-48.191983780941555</v>
      </c>
      <c r="N37" s="10">
        <f t="shared" si="4"/>
        <v>-0.46205161822571006</v>
      </c>
      <c r="O37" s="52" t="s">
        <v>69</v>
      </c>
      <c r="P37" s="83">
        <f>1-(EXP(1)*(0.5*P38))</f>
        <v>0.59225772573114321</v>
      </c>
      <c r="Q37" s="89">
        <v>104.3</v>
      </c>
      <c r="R37" s="89"/>
      <c r="S37" s="82"/>
      <c r="T37" s="82"/>
      <c r="U37" s="5"/>
      <c r="V37" s="5"/>
      <c r="W37" s="5"/>
      <c r="X37" s="5"/>
      <c r="Y37" s="5"/>
    </row>
    <row r="38" spans="1:25" x14ac:dyDescent="0.25">
      <c r="A38" s="82" t="s">
        <v>8</v>
      </c>
      <c r="B38" s="30">
        <v>0</v>
      </c>
      <c r="C38" s="95"/>
      <c r="D38" s="34">
        <v>0.26</v>
      </c>
      <c r="E38" s="95"/>
      <c r="F38" s="95"/>
      <c r="G38" s="26">
        <f>(5.01*(B38^0.59)*Z$71)/(86.4*I$22)</f>
        <v>0</v>
      </c>
      <c r="H38" s="81">
        <f t="shared" si="2"/>
        <v>1.9919061615346234</v>
      </c>
      <c r="I38" s="42">
        <f t="shared" si="3"/>
        <v>0.21622814477815067</v>
      </c>
      <c r="J38" s="87">
        <v>1.1000000000000001</v>
      </c>
      <c r="K38" s="56"/>
      <c r="L38" s="83"/>
      <c r="M38" s="83">
        <f t="shared" si="1"/>
        <v>-49.291983780941557</v>
      </c>
      <c r="N38" s="10">
        <f t="shared" si="4"/>
        <v>-0.48563530818661632</v>
      </c>
      <c r="O38" s="51" t="s">
        <v>74</v>
      </c>
      <c r="P38" s="83">
        <v>0.3</v>
      </c>
      <c r="Q38" s="89">
        <v>101.5</v>
      </c>
      <c r="R38" s="89"/>
      <c r="S38" s="82"/>
      <c r="T38" s="82"/>
      <c r="U38" s="5"/>
      <c r="V38" s="5"/>
      <c r="W38" s="5"/>
      <c r="X38" s="5"/>
      <c r="Y38" s="5"/>
    </row>
    <row r="39" spans="1:25" ht="18.75" x14ac:dyDescent="0.3">
      <c r="A39" s="82" t="s">
        <v>9</v>
      </c>
      <c r="B39" s="30">
        <v>0</v>
      </c>
      <c r="C39" s="95"/>
      <c r="D39" s="34">
        <v>3.7999999999999999E-2</v>
      </c>
      <c r="E39" s="95"/>
      <c r="F39" s="95"/>
      <c r="G39" s="26">
        <f>(5.01*(B39^0.59)*Z$71)/(86.4*I$23)</f>
        <v>0</v>
      </c>
      <c r="H39" s="81">
        <f t="shared" si="2"/>
        <v>2.2401276025334531</v>
      </c>
      <c r="I39" s="42">
        <f>((L$32^(J39-(0.6458446*LN(P$36))-(9.53942*N39*(P$36/P$35))+(4.8904*N39)))/1000)*$Z$71</f>
        <v>0.8011859780619015</v>
      </c>
      <c r="J39" s="87">
        <v>2.4</v>
      </c>
      <c r="K39" s="35" t="s">
        <v>63</v>
      </c>
      <c r="L39" s="83"/>
      <c r="M39" s="83">
        <f t="shared" si="1"/>
        <v>-49.291983780941557</v>
      </c>
      <c r="N39" s="10">
        <f t="shared" si="4"/>
        <v>-0.45430399798102816</v>
      </c>
      <c r="O39" s="45" t="s">
        <v>75</v>
      </c>
      <c r="P39" s="59"/>
      <c r="Q39" s="89">
        <v>108.5</v>
      </c>
      <c r="R39" s="89"/>
      <c r="S39" s="82"/>
      <c r="T39" s="82"/>
      <c r="U39" s="5"/>
      <c r="V39" s="5"/>
      <c r="W39" s="5"/>
      <c r="X39" s="5"/>
      <c r="Y39" s="5"/>
    </row>
    <row r="40" spans="1:25" x14ac:dyDescent="0.25">
      <c r="A40" s="82" t="s">
        <v>10</v>
      </c>
      <c r="B40" s="30">
        <v>14.9</v>
      </c>
      <c r="C40" s="95"/>
      <c r="D40" s="33">
        <v>2189</v>
      </c>
      <c r="E40" s="95"/>
      <c r="F40" s="95"/>
      <c r="G40" s="26">
        <f>(5.01*(B40^0.59)*Z$71)/(86.4*I$24)</f>
        <v>3.9650422049581184</v>
      </c>
      <c r="H40" s="81">
        <f t="shared" si="2"/>
        <v>3.8900144352435424</v>
      </c>
      <c r="I40" s="42">
        <f t="shared" si="3"/>
        <v>3.7591679151121644</v>
      </c>
      <c r="J40" s="87">
        <v>3.9</v>
      </c>
      <c r="K40" s="56"/>
      <c r="L40" s="56"/>
      <c r="M40" s="83">
        <f t="shared" si="1"/>
        <v>-34.391983780941558</v>
      </c>
      <c r="N40" s="10">
        <f t="shared" si="4"/>
        <v>-0.30707128375840675</v>
      </c>
      <c r="O40" s="10"/>
      <c r="P40" s="83"/>
      <c r="Q40" s="89">
        <v>112</v>
      </c>
      <c r="R40" s="89"/>
      <c r="S40" s="82"/>
      <c r="T40" s="82"/>
      <c r="U40" s="5"/>
      <c r="V40" s="5"/>
      <c r="W40" s="5"/>
      <c r="X40" s="5"/>
      <c r="Y40" s="5"/>
    </row>
    <row r="41" spans="1:25" x14ac:dyDescent="0.25">
      <c r="A41" s="82" t="s">
        <v>11</v>
      </c>
      <c r="B41" s="30">
        <v>4.5999999999999996</v>
      </c>
      <c r="C41" s="95"/>
      <c r="D41" s="33">
        <v>1581</v>
      </c>
      <c r="E41" s="95"/>
      <c r="F41" s="95"/>
      <c r="G41" s="26">
        <f>(5.01*(B41^0.59)*Z$71)/(86.4*I$25)</f>
        <v>1.9180264753810849</v>
      </c>
      <c r="H41" s="81">
        <f t="shared" si="2"/>
        <v>3.1046902951401867</v>
      </c>
      <c r="I41" s="42">
        <f t="shared" si="3"/>
        <v>3.6893830745097671</v>
      </c>
      <c r="J41" s="87">
        <v>3.9</v>
      </c>
      <c r="K41" s="56"/>
      <c r="L41" s="56"/>
      <c r="M41" s="83">
        <f t="shared" si="1"/>
        <v>-44.691983780941555</v>
      </c>
      <c r="N41" s="10">
        <f t="shared" si="4"/>
        <v>-0.36723076237421159</v>
      </c>
      <c r="O41" s="83"/>
      <c r="P41" s="83"/>
      <c r="Q41" s="89">
        <v>121.7</v>
      </c>
      <c r="R41" s="89"/>
      <c r="S41" s="82"/>
      <c r="T41" s="82"/>
      <c r="U41" s="5"/>
      <c r="V41" s="5"/>
      <c r="W41" s="5"/>
      <c r="X41" s="5"/>
      <c r="Y41" s="5"/>
    </row>
    <row r="42" spans="1:25" x14ac:dyDescent="0.25">
      <c r="A42" s="24" t="s">
        <v>12</v>
      </c>
      <c r="B42" s="29">
        <v>1981</v>
      </c>
      <c r="C42" s="29">
        <v>1981</v>
      </c>
      <c r="D42" s="29">
        <v>1981</v>
      </c>
      <c r="E42" s="29">
        <v>1981</v>
      </c>
      <c r="F42" s="29">
        <v>1981</v>
      </c>
      <c r="G42" s="29">
        <v>1981</v>
      </c>
      <c r="H42" s="29">
        <v>1981</v>
      </c>
      <c r="I42" s="29">
        <v>1981</v>
      </c>
      <c r="J42" s="47" t="s">
        <v>70</v>
      </c>
      <c r="K42" s="27"/>
      <c r="L42" s="27"/>
      <c r="M42" s="39" t="s">
        <v>60</v>
      </c>
      <c r="N42" s="39" t="s">
        <v>73</v>
      </c>
      <c r="O42" s="105" t="s">
        <v>57</v>
      </c>
      <c r="P42" s="105"/>
      <c r="Q42" s="10"/>
      <c r="R42" s="82"/>
      <c r="S42" s="82"/>
      <c r="T42" s="82"/>
      <c r="U42" s="5"/>
      <c r="V42" s="5"/>
      <c r="W42" s="5"/>
      <c r="X42" s="5"/>
      <c r="Y42" s="5"/>
    </row>
    <row r="43" spans="1:25" ht="15" customHeight="1" x14ac:dyDescent="0.25">
      <c r="A43" s="82" t="s">
        <v>0</v>
      </c>
      <c r="B43" s="30">
        <v>78.3</v>
      </c>
      <c r="C43" s="95" t="s">
        <v>80</v>
      </c>
      <c r="D43" s="33">
        <v>7477</v>
      </c>
      <c r="E43" s="95" t="s">
        <v>80</v>
      </c>
      <c r="F43" s="95" t="s">
        <v>79</v>
      </c>
      <c r="G43" s="26">
        <f>(5.01*(B43^0.59)*Z$71)/(86.4*I$14)</f>
        <v>10.212849135860909</v>
      </c>
      <c r="H43" s="81">
        <f>(($K$30*(EXP(1))^($L$30*N43))/1000)*$Z$71</f>
        <v>19.69080353897472</v>
      </c>
      <c r="I43" s="42">
        <f>((L$32^(J43-(0.6458446*LN(P$36))-(9.53942*N43*(P$36/P$35))+(4.8904*N43)))/1000)*$Z$71</f>
        <v>0.11753254031573493</v>
      </c>
      <c r="J43" s="87">
        <v>0.3</v>
      </c>
      <c r="K43" s="56"/>
      <c r="L43" s="56"/>
      <c r="M43" s="83">
        <f t="shared" ref="M43:M54" si="5">(B43-(0.74*P$44))</f>
        <v>15.886191554296502</v>
      </c>
      <c r="N43" s="10">
        <f>M43/Q43</f>
        <v>0.12558254193119764</v>
      </c>
      <c r="O43" s="50" t="s">
        <v>58</v>
      </c>
      <c r="P43" s="82">
        <f>(B43+B44+B45+B46+B47+B48+B49+B50+B51+B52+B53+B54)/12</f>
        <v>50.658333333333324</v>
      </c>
      <c r="Q43" s="89">
        <v>126.5</v>
      </c>
      <c r="R43" s="89"/>
      <c r="S43" s="82"/>
      <c r="T43" s="82"/>
      <c r="U43" s="5"/>
      <c r="V43" s="5"/>
      <c r="W43" s="5"/>
      <c r="X43" s="5"/>
      <c r="Y43" s="5"/>
    </row>
    <row r="44" spans="1:25" ht="15" customHeight="1" x14ac:dyDescent="0.25">
      <c r="A44" s="82" t="s">
        <v>1</v>
      </c>
      <c r="B44" s="30">
        <v>274.5</v>
      </c>
      <c r="C44" s="95"/>
      <c r="D44" s="33">
        <v>19283</v>
      </c>
      <c r="E44" s="95"/>
      <c r="F44" s="95"/>
      <c r="G44" s="26">
        <f>(5.01*(B44^0.59)*Z$71)/(86.4*J$15)</f>
        <v>22.883958877404652</v>
      </c>
      <c r="H44" s="81">
        <f t="shared" ref="H44:H54" si="6">(($K$30*(EXP(1))^($L$30*N44))/1000)*$Z$71</f>
        <v>12662.085487286857</v>
      </c>
      <c r="I44" s="42">
        <f t="shared" ref="I44:I54" si="7">((L$32^(J44-(0.6458446*LN(P$36))-(9.53942*N44*(P$36/P$35))+(4.8904*N44)))/1000)*$Z$71</f>
        <v>1.5624980140341915</v>
      </c>
      <c r="J44" s="87">
        <v>2.35</v>
      </c>
      <c r="K44" s="56"/>
      <c r="L44" s="56"/>
      <c r="M44" s="83">
        <f t="shared" si="5"/>
        <v>212.08619155429651</v>
      </c>
      <c r="N44" s="10">
        <f t="shared" ref="N44:N54" si="8">M44/Q44</f>
        <v>1.8506648477687304</v>
      </c>
      <c r="O44" s="50" t="s">
        <v>66</v>
      </c>
      <c r="P44" s="83">
        <f>((((B43-P43)^2+(B44-P43)^2+(B45-P43)^2+(B46-P43)^2+(B47-P43)^2+(B48-P43)^2+(B49-P43)^2+(B50-P43)^2+(B51-P43)^2+(B52-P43)^2+(B53-P43)^2+(B54-P43)^2))/(12-1))^0.5</f>
        <v>84.342984386085803</v>
      </c>
      <c r="Q44" s="89">
        <v>114.6</v>
      </c>
      <c r="R44" s="89"/>
      <c r="T44" s="82"/>
      <c r="U44" s="5"/>
      <c r="V44" s="5"/>
      <c r="W44" s="5"/>
      <c r="X44" s="5"/>
      <c r="Y44" s="5"/>
    </row>
    <row r="45" spans="1:25" x14ac:dyDescent="0.25">
      <c r="A45" s="82" t="s">
        <v>2</v>
      </c>
      <c r="B45" s="30">
        <v>116.6</v>
      </c>
      <c r="C45" s="95"/>
      <c r="D45" s="33">
        <v>14359</v>
      </c>
      <c r="E45" s="95"/>
      <c r="F45" s="95"/>
      <c r="G45" s="26">
        <f>(5.01*(B45^0.59)*Z$71)/(86.4*I$16)</f>
        <v>12.917534249183769</v>
      </c>
      <c r="H45" s="81">
        <f t="shared" si="6"/>
        <v>58.382014264822942</v>
      </c>
      <c r="I45" s="42">
        <f t="shared" si="7"/>
        <v>0.9992751669252018</v>
      </c>
      <c r="J45" s="87">
        <v>2.35</v>
      </c>
      <c r="K45" s="56"/>
      <c r="L45" s="58"/>
      <c r="M45" s="83">
        <f t="shared" si="5"/>
        <v>54.186191554296499</v>
      </c>
      <c r="N45" s="10">
        <f t="shared" si="8"/>
        <v>0.41553827879061733</v>
      </c>
      <c r="O45" s="83"/>
      <c r="P45" s="83"/>
      <c r="Q45" s="89">
        <v>130.4</v>
      </c>
      <c r="R45" s="89"/>
      <c r="T45" s="82"/>
      <c r="U45" s="5"/>
      <c r="V45" s="5"/>
      <c r="W45" s="5"/>
      <c r="X45" s="5"/>
      <c r="Y45" s="5"/>
    </row>
    <row r="46" spans="1:25" x14ac:dyDescent="0.25">
      <c r="A46" s="82" t="s">
        <v>3</v>
      </c>
      <c r="B46" s="30">
        <v>117.4</v>
      </c>
      <c r="C46" s="95"/>
      <c r="D46" s="33">
        <v>12024</v>
      </c>
      <c r="E46" s="95"/>
      <c r="F46" s="95"/>
      <c r="G46" s="26">
        <f>(5.01*(B46^0.59)*Z$71)/(86.4*I$17)</f>
        <v>13.402076519984693</v>
      </c>
      <c r="H46" s="81">
        <f t="shared" si="6"/>
        <v>61.537070315480797</v>
      </c>
      <c r="I46" s="42">
        <f t="shared" si="7"/>
        <v>1.0036551428748164</v>
      </c>
      <c r="J46" s="87">
        <v>2.35</v>
      </c>
      <c r="K46" s="56"/>
      <c r="L46" s="56"/>
      <c r="M46" s="83">
        <f t="shared" si="5"/>
        <v>54.986191554296511</v>
      </c>
      <c r="N46" s="10">
        <f t="shared" si="8"/>
        <v>0.42957962151794149</v>
      </c>
      <c r="O46" s="59"/>
      <c r="P46" s="59"/>
      <c r="Q46" s="89">
        <v>128</v>
      </c>
      <c r="R46" s="89"/>
      <c r="S46" s="82"/>
      <c r="T46" s="82"/>
      <c r="U46" s="5"/>
      <c r="V46" s="5"/>
      <c r="W46" s="5"/>
      <c r="X46" s="5"/>
      <c r="Y46" s="5"/>
    </row>
    <row r="47" spans="1:25" x14ac:dyDescent="0.25">
      <c r="A47" s="82" t="s">
        <v>4</v>
      </c>
      <c r="B47" s="30">
        <v>0</v>
      </c>
      <c r="C47" s="95"/>
      <c r="D47" s="33">
        <v>7817</v>
      </c>
      <c r="E47" s="95"/>
      <c r="F47" s="95"/>
      <c r="G47" s="26">
        <f>(5.01*(B47^0.59)*Z$71)/(86.4*I$18)</f>
        <v>0</v>
      </c>
      <c r="H47" s="81">
        <f t="shared" si="6"/>
        <v>1.8526804533466945</v>
      </c>
      <c r="I47" s="42">
        <f t="shared" si="7"/>
        <v>0.75017983351353534</v>
      </c>
      <c r="J47" s="87">
        <v>2.35</v>
      </c>
      <c r="K47" s="56"/>
      <c r="L47" s="56"/>
      <c r="M47" s="83">
        <f t="shared" si="5"/>
        <v>-62.413808445703495</v>
      </c>
      <c r="N47" s="10">
        <f t="shared" si="8"/>
        <v>-0.50496608774841023</v>
      </c>
      <c r="O47" s="59"/>
      <c r="P47" s="59"/>
      <c r="Q47" s="89">
        <v>123.6</v>
      </c>
      <c r="R47" s="89"/>
      <c r="S47" s="82"/>
      <c r="T47" s="82"/>
      <c r="U47" s="5"/>
      <c r="V47" s="5"/>
      <c r="W47" s="5"/>
      <c r="X47" s="5"/>
      <c r="Y47" s="5"/>
    </row>
    <row r="48" spans="1:25" x14ac:dyDescent="0.25">
      <c r="A48" s="82" t="s">
        <v>5</v>
      </c>
      <c r="B48" s="30">
        <v>1</v>
      </c>
      <c r="C48" s="95"/>
      <c r="D48" s="34">
        <v>0.71399999999999997</v>
      </c>
      <c r="E48" s="95"/>
      <c r="F48" s="95"/>
      <c r="G48" s="26">
        <f>(5.01*(B48^0.59)*Z$71)/(86.4*I$19)</f>
        <v>0.80550439814814823</v>
      </c>
      <c r="H48" s="81">
        <f t="shared" si="6"/>
        <v>1.5025081368245139</v>
      </c>
      <c r="I48" s="42">
        <f t="shared" si="7"/>
        <v>0.4941821816208396</v>
      </c>
      <c r="J48" s="87">
        <v>1.95</v>
      </c>
      <c r="K48" s="56"/>
      <c r="L48" s="56"/>
      <c r="M48" s="83">
        <f t="shared" si="5"/>
        <v>-61.413808445703495</v>
      </c>
      <c r="N48" s="10">
        <f t="shared" si="8"/>
        <v>-0.56085669813427852</v>
      </c>
      <c r="O48" s="59"/>
      <c r="P48" s="59"/>
      <c r="Q48" s="89">
        <v>109.5</v>
      </c>
      <c r="R48" s="89"/>
      <c r="S48" s="82"/>
      <c r="T48" s="82"/>
      <c r="U48" s="5"/>
      <c r="V48" s="5"/>
      <c r="W48" s="5"/>
      <c r="X48" s="5"/>
      <c r="Y48" s="5"/>
    </row>
    <row r="49" spans="1:27" x14ac:dyDescent="0.25">
      <c r="A49" s="82" t="s">
        <v>6</v>
      </c>
      <c r="B49" s="30">
        <v>3.9</v>
      </c>
      <c r="C49" s="95"/>
      <c r="D49" s="34">
        <v>0.93799999999999994</v>
      </c>
      <c r="E49" s="95"/>
      <c r="F49" s="95"/>
      <c r="G49" s="26">
        <f>(5.01*(B49^0.59)*Z$71)/(86.4*I$20)</f>
        <v>1.7400254286628019</v>
      </c>
      <c r="H49" s="81">
        <f t="shared" si="6"/>
        <v>1.53797014130742</v>
      </c>
      <c r="I49" s="42">
        <f t="shared" si="7"/>
        <v>0.23388807895888433</v>
      </c>
      <c r="J49" s="87">
        <v>1.2</v>
      </c>
      <c r="K49" s="56"/>
      <c r="L49" s="56"/>
      <c r="M49" s="83">
        <f t="shared" si="5"/>
        <v>-58.513808445703496</v>
      </c>
      <c r="N49" s="10">
        <f t="shared" si="8"/>
        <v>-0.55463325540951181</v>
      </c>
      <c r="O49" s="59"/>
      <c r="P49" s="59"/>
      <c r="Q49" s="89">
        <v>105.5</v>
      </c>
      <c r="R49" s="89"/>
      <c r="S49" s="82"/>
      <c r="T49" s="82"/>
      <c r="U49" s="5"/>
      <c r="V49" s="5"/>
      <c r="W49" s="5"/>
      <c r="X49" s="5"/>
      <c r="Y49" s="5"/>
    </row>
    <row r="50" spans="1:27" x14ac:dyDescent="0.25">
      <c r="A50" s="82" t="s">
        <v>7</v>
      </c>
      <c r="B50" s="30">
        <v>0.6</v>
      </c>
      <c r="C50" s="95"/>
      <c r="D50" s="34">
        <v>0.64300000000000002</v>
      </c>
      <c r="E50" s="95"/>
      <c r="F50" s="95"/>
      <c r="G50" s="26">
        <f>(5.01*(B50^0.59)*Z$71)/(86.4*I$21)</f>
        <v>0.57668242319148233</v>
      </c>
      <c r="H50" s="81">
        <f t="shared" si="6"/>
        <v>1.3336885611305493</v>
      </c>
      <c r="I50" s="42">
        <f t="shared" si="7"/>
        <v>0.12066282388703309</v>
      </c>
      <c r="J50" s="87">
        <v>0.55000000000000004</v>
      </c>
      <c r="K50" s="56"/>
      <c r="L50" s="56"/>
      <c r="M50" s="83">
        <f t="shared" si="5"/>
        <v>-61.813808445703494</v>
      </c>
      <c r="N50" s="10">
        <f t="shared" si="8"/>
        <v>-0.59265396400482739</v>
      </c>
      <c r="O50" s="60"/>
      <c r="P50" s="59"/>
      <c r="Q50" s="89">
        <v>104.3</v>
      </c>
      <c r="R50" s="89"/>
      <c r="S50" s="82"/>
      <c r="T50" s="82"/>
      <c r="U50" s="5"/>
      <c r="V50" s="5"/>
      <c r="W50" s="5"/>
      <c r="X50" s="5"/>
      <c r="Y50" s="5"/>
    </row>
    <row r="51" spans="1:27" x14ac:dyDescent="0.25">
      <c r="A51" s="82" t="s">
        <v>8</v>
      </c>
      <c r="B51" s="30">
        <v>0.8</v>
      </c>
      <c r="C51" s="95"/>
      <c r="D51" s="34">
        <v>0.43099999999999999</v>
      </c>
      <c r="E51" s="95"/>
      <c r="F51" s="95"/>
      <c r="G51" s="26">
        <f>(5.01*(B51^0.59)*Z$71)/(86.4*I$22)</f>
        <v>0.70614031730816851</v>
      </c>
      <c r="H51" s="81">
        <f t="shared" si="6"/>
        <v>1.2637105643495292</v>
      </c>
      <c r="I51" s="42">
        <f t="shared" si="7"/>
        <v>0.12012362769746134</v>
      </c>
      <c r="J51" s="87">
        <v>0.55000000000000004</v>
      </c>
      <c r="K51" s="56"/>
      <c r="L51" s="56"/>
      <c r="M51" s="83">
        <f t="shared" si="5"/>
        <v>-61.613808445703498</v>
      </c>
      <c r="N51" s="10">
        <f t="shared" si="8"/>
        <v>-0.60703259552417244</v>
      </c>
      <c r="O51" s="59"/>
      <c r="P51" s="59"/>
      <c r="Q51" s="89">
        <v>101.5</v>
      </c>
      <c r="R51" s="89"/>
      <c r="S51" s="82"/>
      <c r="T51" s="82"/>
      <c r="U51" s="5"/>
      <c r="V51" s="5"/>
      <c r="W51" s="5"/>
      <c r="X51" s="5"/>
      <c r="Y51" s="5"/>
    </row>
    <row r="52" spans="1:27" ht="18.75" x14ac:dyDescent="0.3">
      <c r="A52" s="82" t="s">
        <v>9</v>
      </c>
      <c r="B52" s="30">
        <v>1.8</v>
      </c>
      <c r="C52" s="95"/>
      <c r="D52" s="34">
        <v>0.628</v>
      </c>
      <c r="E52" s="95"/>
      <c r="F52" s="95"/>
      <c r="G52" s="26">
        <f>(5.01*(B52^0.59)*Z$71)/(86.4*I$23)</f>
        <v>1.1026514552010818</v>
      </c>
      <c r="H52" s="81">
        <f t="shared" si="6"/>
        <v>1.5149728107432061</v>
      </c>
      <c r="I52" s="42">
        <f>((L$32^(J52-(0.6458446*LN(P$36))-(9.53942*N52*(P$36/P$35))+(4.8904*N52)))/1000)*$Z$71</f>
        <v>0.23359544765953422</v>
      </c>
      <c r="J52" s="87">
        <v>1.2</v>
      </c>
      <c r="K52" s="56"/>
      <c r="L52" s="56"/>
      <c r="M52" s="83">
        <f t="shared" si="5"/>
        <v>-60.613808445703498</v>
      </c>
      <c r="N52" s="10">
        <f t="shared" si="8"/>
        <v>-0.55865261240279718</v>
      </c>
      <c r="O52" s="61"/>
      <c r="P52" s="62"/>
      <c r="Q52" s="89">
        <v>108.5</v>
      </c>
      <c r="R52" s="89"/>
      <c r="S52" s="82"/>
      <c r="T52" s="82"/>
      <c r="U52" s="5"/>
      <c r="V52" s="5"/>
      <c r="W52" s="5"/>
      <c r="X52" s="5"/>
      <c r="Y52" s="5"/>
    </row>
    <row r="53" spans="1:27" x14ac:dyDescent="0.25">
      <c r="A53" s="82" t="s">
        <v>10</v>
      </c>
      <c r="B53" s="30">
        <v>0.1</v>
      </c>
      <c r="C53" s="95"/>
      <c r="D53" s="34">
        <v>0.373</v>
      </c>
      <c r="E53" s="95"/>
      <c r="F53" s="95"/>
      <c r="G53" s="26">
        <f>(5.01*(B53^0.59)*Z$71)/(86.4*I$24)</f>
        <v>0.20704651080017727</v>
      </c>
      <c r="H53" s="81">
        <f t="shared" si="6"/>
        <v>1.5279717401867472</v>
      </c>
      <c r="I53" s="42">
        <f t="shared" si="7"/>
        <v>0.49487278166321963</v>
      </c>
      <c r="J53" s="87">
        <v>1.95</v>
      </c>
      <c r="K53" s="56"/>
      <c r="L53" s="56"/>
      <c r="M53" s="83">
        <f t="shared" si="5"/>
        <v>-62.313808445703494</v>
      </c>
      <c r="N53" s="10">
        <f t="shared" si="8"/>
        <v>-0.55637328969378119</v>
      </c>
      <c r="O53" s="10"/>
      <c r="P53" s="83"/>
      <c r="Q53" s="89">
        <v>112</v>
      </c>
      <c r="R53" s="89"/>
      <c r="S53" s="82"/>
      <c r="T53" s="82"/>
      <c r="U53" s="5"/>
      <c r="V53" s="5"/>
      <c r="W53" s="5"/>
      <c r="X53" s="5"/>
      <c r="Y53" s="5"/>
    </row>
    <row r="54" spans="1:27" x14ac:dyDescent="0.25">
      <c r="A54" s="82" t="s">
        <v>11</v>
      </c>
      <c r="B54" s="30">
        <v>12.9</v>
      </c>
      <c r="C54" s="95"/>
      <c r="D54" s="33">
        <v>1978</v>
      </c>
      <c r="E54" s="95"/>
      <c r="F54" s="95"/>
      <c r="G54" s="26">
        <f>(5.01*(B54^0.59)*Z$71)/(86.4*I$25)</f>
        <v>3.5243205807969193</v>
      </c>
      <c r="H54" s="81">
        <f t="shared" si="6"/>
        <v>2.6762112558417659</v>
      </c>
      <c r="I54" s="42">
        <f t="shared" si="7"/>
        <v>0.51846554777403142</v>
      </c>
      <c r="J54" s="87">
        <v>1.95</v>
      </c>
      <c r="K54" s="56"/>
      <c r="L54" s="56"/>
      <c r="M54" s="83">
        <f t="shared" si="5"/>
        <v>-49.513808445703496</v>
      </c>
      <c r="N54" s="10">
        <f t="shared" si="8"/>
        <v>-0.40685134302139275</v>
      </c>
      <c r="O54" s="83"/>
      <c r="P54" s="83"/>
      <c r="Q54" s="89">
        <v>121.7</v>
      </c>
      <c r="R54" s="89"/>
      <c r="U54" s="5"/>
      <c r="V54" s="5"/>
      <c r="W54" s="5"/>
      <c r="X54" s="5"/>
      <c r="Y54" s="5"/>
    </row>
    <row r="55" spans="1:27" x14ac:dyDescent="0.25">
      <c r="A55" s="24" t="s">
        <v>12</v>
      </c>
      <c r="B55" s="25">
        <v>1982</v>
      </c>
      <c r="C55" s="25">
        <v>1982</v>
      </c>
      <c r="D55" s="25">
        <v>1982</v>
      </c>
      <c r="E55" s="25">
        <v>1982</v>
      </c>
      <c r="F55" s="25">
        <v>1982</v>
      </c>
      <c r="G55" s="25">
        <v>1982</v>
      </c>
      <c r="H55" s="25">
        <v>1982</v>
      </c>
      <c r="I55" s="25">
        <v>1982</v>
      </c>
      <c r="J55" s="47" t="s">
        <v>70</v>
      </c>
      <c r="K55" s="27"/>
      <c r="L55" s="27"/>
      <c r="M55" s="39" t="s">
        <v>60</v>
      </c>
      <c r="N55" s="39" t="s">
        <v>73</v>
      </c>
      <c r="O55" s="105" t="s">
        <v>57</v>
      </c>
      <c r="P55" s="105"/>
      <c r="Q55" s="89">
        <v>63.5</v>
      </c>
      <c r="R55" s="89"/>
      <c r="S55" s="82"/>
      <c r="T55" s="82"/>
      <c r="U55" s="82"/>
      <c r="V55" s="5"/>
      <c r="W55" s="5"/>
      <c r="X55" s="5"/>
      <c r="Y55" s="5"/>
      <c r="Z55" s="5"/>
    </row>
    <row r="56" spans="1:27" ht="15" customHeight="1" x14ac:dyDescent="0.25">
      <c r="A56" s="82" t="s">
        <v>0</v>
      </c>
      <c r="B56" s="31">
        <v>82</v>
      </c>
      <c r="C56" s="95" t="s">
        <v>80</v>
      </c>
      <c r="D56" s="1">
        <v>7838</v>
      </c>
      <c r="E56" s="95" t="s">
        <v>80</v>
      </c>
      <c r="F56" s="95" t="s">
        <v>79</v>
      </c>
      <c r="G56" s="26">
        <f>(5.01*(B56^0.59)*Z$71)/(86.4*I$14)</f>
        <v>10.494884173169709</v>
      </c>
      <c r="H56" s="81">
        <f>(($K$30*(EXP(1))^($L$30*N56))/1000)*$Z$71</f>
        <v>25.592370603998191</v>
      </c>
      <c r="I56" s="42">
        <f>((L$32^(J56-(0.6458446*LN(P$36))-(9.53942*N56*(P$36/P$35))+(4.8904*N56)))/1000)*$Z$71</f>
        <v>0.12012088464244478</v>
      </c>
      <c r="J56" s="87">
        <v>0.3</v>
      </c>
      <c r="K56" s="56"/>
      <c r="L56" s="56"/>
      <c r="M56" s="83">
        <f t="shared" ref="M56:M67" si="9">(B56-(0.74*P$57))</f>
        <v>24.733022557022046</v>
      </c>
      <c r="N56" s="10">
        <f>M56/Q56</f>
        <v>0.19551796487764464</v>
      </c>
      <c r="O56" s="50" t="s">
        <v>58</v>
      </c>
      <c r="P56" s="83">
        <f>(B56+B57+B58+B59+B60+B61+B62+B63+B64+B65+B66+B67)/12</f>
        <v>69.599999999999994</v>
      </c>
      <c r="Q56" s="89">
        <v>126.5</v>
      </c>
      <c r="R56" s="89"/>
      <c r="S56" s="5"/>
      <c r="T56" s="5"/>
      <c r="U56" s="5"/>
      <c r="V56" s="5"/>
      <c r="W56" s="5"/>
      <c r="X56" s="5"/>
      <c r="Y56" s="5"/>
      <c r="Z56" s="5"/>
    </row>
    <row r="57" spans="1:27" x14ac:dyDescent="0.25">
      <c r="A57" s="82" t="s">
        <v>1</v>
      </c>
      <c r="B57" s="31">
        <v>73</v>
      </c>
      <c r="C57" s="95"/>
      <c r="D57" s="1">
        <v>8809</v>
      </c>
      <c r="E57" s="95"/>
      <c r="F57" s="95"/>
      <c r="G57" s="26">
        <f>(5.01*(B57^0.59)*Z$71)/(86.4*J$15)</f>
        <v>10.474942805731121</v>
      </c>
      <c r="H57" s="81">
        <f t="shared" ref="H57:H67" si="10">(($K$30*(EXP(1))^($L$30*N57))/1000)*$Z$71</f>
        <v>20.573871926035814</v>
      </c>
      <c r="I57" s="42">
        <f t="shared" ref="I57:I67" si="11">((L$32^(J57-(0.6458446*LN(P$36))-(9.53942*N57*(P$36/P$35))+(4.8904*N57)))/1000)*$Z$71</f>
        <v>0.91631549856763217</v>
      </c>
      <c r="J57" s="87">
        <v>2.35</v>
      </c>
      <c r="K57" s="56"/>
      <c r="L57" s="56"/>
      <c r="M57" s="83">
        <f t="shared" si="9"/>
        <v>15.733022557022046</v>
      </c>
      <c r="N57" s="10">
        <f t="shared" ref="N57:N67" si="12">M57/Q57</f>
        <v>0.13728640974713829</v>
      </c>
      <c r="O57" s="50" t="s">
        <v>66</v>
      </c>
      <c r="P57" s="83">
        <f>((((B56-P56)^2+(B57-P56)^2+(B58-P56)^2+(B59-P56)^2+(B60-P56)^2+(B61-P56)^2+(B62-P56)^2+(B63-P56)^2+(B64-P56)^2+(B65-P56)^2+(B66-P56)^2+(B67-P56)^2))/(12-1))^0.5</f>
        <v>77.387807355375614</v>
      </c>
      <c r="Q57" s="89">
        <v>114.6</v>
      </c>
      <c r="R57" s="89"/>
      <c r="S57" s="5"/>
      <c r="T57" s="5"/>
      <c r="U57" s="5"/>
      <c r="V57" s="5"/>
      <c r="W57" s="5"/>
      <c r="X57" s="5"/>
      <c r="Y57" s="5"/>
      <c r="Z57" s="5"/>
    </row>
    <row r="58" spans="1:27" ht="15" customHeight="1" x14ac:dyDescent="0.25">
      <c r="A58" s="82" t="s">
        <v>2</v>
      </c>
      <c r="B58" s="31">
        <v>91.5</v>
      </c>
      <c r="C58" s="95"/>
      <c r="D58" s="1">
        <v>9686</v>
      </c>
      <c r="E58" s="95"/>
      <c r="F58" s="95"/>
      <c r="G58" s="26">
        <f>(5.01*(B58^0.59)*Z$71)/(86.4*I$16)</f>
        <v>11.19607818123041</v>
      </c>
      <c r="H58" s="81">
        <f t="shared" si="10"/>
        <v>32.899366839814519</v>
      </c>
      <c r="I58" s="42">
        <f t="shared" si="11"/>
        <v>0.95276595384951401</v>
      </c>
      <c r="J58" s="87">
        <v>2.35</v>
      </c>
      <c r="K58" s="56"/>
      <c r="L58" s="58"/>
      <c r="M58" s="83">
        <f t="shared" si="9"/>
        <v>34.233022557022046</v>
      </c>
      <c r="N58" s="10">
        <f t="shared" si="12"/>
        <v>0.26252317911826722</v>
      </c>
      <c r="O58" s="83"/>
      <c r="P58" s="83"/>
      <c r="Q58" s="89">
        <v>130.4</v>
      </c>
      <c r="R58" s="89"/>
      <c r="S58" s="5"/>
      <c r="T58" s="5"/>
      <c r="U58" s="5"/>
      <c r="V58" s="5"/>
      <c r="W58" s="5"/>
      <c r="X58" s="5"/>
      <c r="Y58" s="5"/>
      <c r="Z58" s="5"/>
    </row>
    <row r="59" spans="1:27" x14ac:dyDescent="0.25">
      <c r="A59" s="82" t="s">
        <v>3</v>
      </c>
      <c r="B59" s="31">
        <v>27.9</v>
      </c>
      <c r="C59" s="95"/>
      <c r="D59" s="1">
        <v>5719</v>
      </c>
      <c r="E59" s="95"/>
      <c r="F59" s="95"/>
      <c r="G59" s="26">
        <f>(5.01*(B59^0.59)*Z$71)/(86.4*I$17)</f>
        <v>5.7408261593495116</v>
      </c>
      <c r="H59" s="81">
        <f t="shared" si="10"/>
        <v>5.2040728617710954</v>
      </c>
      <c r="I59" s="42">
        <f t="shared" si="11"/>
        <v>0.81740660188693237</v>
      </c>
      <c r="J59" s="87">
        <v>2.35</v>
      </c>
      <c r="K59" s="56"/>
      <c r="L59" s="56"/>
      <c r="M59" s="83">
        <f t="shared" si="9"/>
        <v>-29.366977442977955</v>
      </c>
      <c r="N59" s="10">
        <f t="shared" si="12"/>
        <v>-0.22942951127326527</v>
      </c>
      <c r="O59" s="59"/>
      <c r="P59" s="59"/>
      <c r="Q59" s="89">
        <v>128</v>
      </c>
      <c r="R59" s="89"/>
      <c r="S59" s="5"/>
      <c r="T59" s="5"/>
      <c r="U59" s="5"/>
      <c r="V59" s="5"/>
      <c r="W59" s="5"/>
      <c r="X59" s="5"/>
      <c r="Y59" s="5"/>
      <c r="Z59" s="5"/>
    </row>
    <row r="60" spans="1:27" x14ac:dyDescent="0.25">
      <c r="A60" s="82" t="s">
        <v>4</v>
      </c>
      <c r="B60" s="31">
        <v>29.2</v>
      </c>
      <c r="C60" s="95"/>
      <c r="D60" s="10">
        <v>4.3899999999999997</v>
      </c>
      <c r="E60" s="95"/>
      <c r="F60" s="95"/>
      <c r="G60" s="26">
        <f>(5.01*(B60^0.59)*Z$71)/(86.4*I$18)</f>
        <v>5.7069406923703196</v>
      </c>
      <c r="H60" s="81">
        <f t="shared" si="10"/>
        <v>5.2501240754634209</v>
      </c>
      <c r="I60" s="42">
        <f t="shared" si="11"/>
        <v>0.8180052448749866</v>
      </c>
      <c r="J60" s="87">
        <v>2.35</v>
      </c>
      <c r="K60" s="56"/>
      <c r="L60" s="56"/>
      <c r="M60" s="83">
        <f t="shared" si="9"/>
        <v>-28.066977442977954</v>
      </c>
      <c r="N60" s="10">
        <f t="shared" si="12"/>
        <v>-0.22707910552571162</v>
      </c>
      <c r="O60" s="59"/>
      <c r="P60" s="59"/>
      <c r="Q60" s="89">
        <v>123.6</v>
      </c>
      <c r="R60" s="89"/>
    </row>
    <row r="61" spans="1:27" x14ac:dyDescent="0.25">
      <c r="A61" s="82" t="s">
        <v>5</v>
      </c>
      <c r="B61" s="31">
        <v>2.2999999999999998</v>
      </c>
      <c r="C61" s="95"/>
      <c r="D61" s="1">
        <v>1896</v>
      </c>
      <c r="E61" s="95"/>
      <c r="F61" s="95"/>
      <c r="G61" s="26">
        <f>(5.01*(B61^0.59)*Z$71)/(86.4*I$19)</f>
        <v>1.3167015272651965</v>
      </c>
      <c r="H61" s="81">
        <f t="shared" si="10"/>
        <v>1.8735230836505035</v>
      </c>
      <c r="I61" s="42">
        <f t="shared" si="11"/>
        <v>0.50332826992579904</v>
      </c>
      <c r="J61" s="87">
        <v>1.95</v>
      </c>
      <c r="K61" s="56"/>
      <c r="L61" s="56"/>
      <c r="M61" s="83">
        <f t="shared" si="9"/>
        <v>-54.966977442977957</v>
      </c>
      <c r="N61" s="10">
        <f t="shared" si="12"/>
        <v>-0.50198152915961602</v>
      </c>
      <c r="O61" s="59"/>
      <c r="P61" s="59"/>
      <c r="Q61" s="89">
        <v>109.5</v>
      </c>
      <c r="R61" s="89"/>
    </row>
    <row r="62" spans="1:27" x14ac:dyDescent="0.25">
      <c r="A62" s="82" t="s">
        <v>6</v>
      </c>
      <c r="B62" s="31">
        <v>13.2</v>
      </c>
      <c r="C62" s="95"/>
      <c r="D62" s="1">
        <v>2161</v>
      </c>
      <c r="E62" s="95"/>
      <c r="F62" s="95"/>
      <c r="G62" s="26">
        <f>(5.01*(B62^0.59)*Z$71)/(86.4*I$20)</f>
        <v>3.5724494837112046</v>
      </c>
      <c r="H62" s="81">
        <f t="shared" si="10"/>
        <v>2.5696012607992085</v>
      </c>
      <c r="I62" s="42">
        <f t="shared" si="11"/>
        <v>0.24407988204154074</v>
      </c>
      <c r="J62" s="87">
        <v>1.2</v>
      </c>
      <c r="K62" s="56"/>
      <c r="L62" s="56"/>
      <c r="M62" s="83">
        <f t="shared" si="9"/>
        <v>-44.066977442977958</v>
      </c>
      <c r="N62" s="10">
        <f t="shared" si="12"/>
        <v>-0.41769646865381949</v>
      </c>
      <c r="O62" s="59"/>
      <c r="P62" s="59"/>
      <c r="Q62" s="89">
        <v>105.5</v>
      </c>
      <c r="R62" s="89"/>
      <c r="U62" s="90" t="s">
        <v>37</v>
      </c>
      <c r="V62" s="90"/>
      <c r="W62" s="90"/>
    </row>
    <row r="63" spans="1:27" x14ac:dyDescent="0.25">
      <c r="A63" s="82" t="s">
        <v>7</v>
      </c>
      <c r="B63" s="31">
        <v>0</v>
      </c>
      <c r="C63" s="95"/>
      <c r="D63" s="1">
        <v>2209</v>
      </c>
      <c r="E63" s="95"/>
      <c r="F63" s="95"/>
      <c r="G63" s="26">
        <f>(5.01*(B63^0.59)*Z$71)/(86.4*I$21)</f>
        <v>0</v>
      </c>
      <c r="H63" s="81">
        <f t="shared" si="10"/>
        <v>1.570435989671308</v>
      </c>
      <c r="I63" s="42">
        <f t="shared" si="11"/>
        <v>0.12231242066179761</v>
      </c>
      <c r="J63" s="87">
        <v>0.55000000000000004</v>
      </c>
      <c r="K63" s="56"/>
      <c r="L63" s="56"/>
      <c r="M63" s="83">
        <f t="shared" si="9"/>
        <v>-57.266977442977954</v>
      </c>
      <c r="N63" s="10">
        <f t="shared" si="12"/>
        <v>-0.54906018641397847</v>
      </c>
      <c r="O63" s="60"/>
      <c r="P63" s="59"/>
      <c r="Q63" s="89">
        <v>104.3</v>
      </c>
      <c r="R63" s="89"/>
    </row>
    <row r="64" spans="1:27" x14ac:dyDescent="0.25">
      <c r="A64" s="82" t="s">
        <v>8</v>
      </c>
      <c r="B64" s="31">
        <v>5.7</v>
      </c>
      <c r="C64" s="95"/>
      <c r="D64" s="10">
        <v>1.1200000000000001</v>
      </c>
      <c r="E64" s="95"/>
      <c r="F64" s="95"/>
      <c r="G64" s="26">
        <f>(5.01*(B64^0.59)*Z$71)/(86.4*I$22)</f>
        <v>2.24923110549646</v>
      </c>
      <c r="H64" s="81">
        <f t="shared" si="10"/>
        <v>1.8313941332099382</v>
      </c>
      <c r="I64" s="42">
        <f t="shared" si="11"/>
        <v>0.12388487205163426</v>
      </c>
      <c r="J64" s="87">
        <v>0.55000000000000004</v>
      </c>
      <c r="K64" s="56"/>
      <c r="L64" s="56"/>
      <c r="M64" s="83">
        <f t="shared" si="9"/>
        <v>-51.566977442977951</v>
      </c>
      <c r="N64" s="10">
        <f t="shared" si="12"/>
        <v>-0.50804903884707342</v>
      </c>
      <c r="O64" s="59"/>
      <c r="P64" s="59"/>
      <c r="Q64" s="89">
        <v>101.5</v>
      </c>
      <c r="R64" s="89"/>
      <c r="AA64" s="5"/>
    </row>
    <row r="65" spans="1:27" ht="18.75" x14ac:dyDescent="0.3">
      <c r="A65" s="82" t="s">
        <v>9</v>
      </c>
      <c r="B65" s="31">
        <v>114.8</v>
      </c>
      <c r="C65" s="95"/>
      <c r="D65" s="1">
        <v>9888</v>
      </c>
      <c r="E65" s="95"/>
      <c r="F65" s="95"/>
      <c r="G65" s="26">
        <f>(5.01*(B65^0.59)*Z$71)/(86.4*I$23)</f>
        <v>12.799505488087387</v>
      </c>
      <c r="H65" s="81">
        <f t="shared" si="10"/>
        <v>89.74917050346977</v>
      </c>
      <c r="I65" s="42">
        <f>((L$32^(J65-(0.6458446*LN(P$36))-(9.53942*N65*(P$36/P$35))+(4.8904*N65)))/1000)*$Z$71</f>
        <v>0.32791780522398678</v>
      </c>
      <c r="J65" s="87">
        <v>1.2</v>
      </c>
      <c r="K65" s="56"/>
      <c r="L65" s="56"/>
      <c r="M65" s="83">
        <f t="shared" si="9"/>
        <v>57.533022557022043</v>
      </c>
      <c r="N65" s="10">
        <f t="shared" si="12"/>
        <v>0.53025827241494972</v>
      </c>
      <c r="O65" s="61"/>
      <c r="P65" s="62"/>
      <c r="Q65" s="89">
        <v>108.5</v>
      </c>
      <c r="R65" s="89"/>
      <c r="AA65" s="5"/>
    </row>
    <row r="66" spans="1:27" x14ac:dyDescent="0.25">
      <c r="A66" s="82" t="s">
        <v>10</v>
      </c>
      <c r="B66" s="31">
        <v>126</v>
      </c>
      <c r="C66" s="95"/>
      <c r="D66" s="1">
        <v>12572</v>
      </c>
      <c r="E66" s="95"/>
      <c r="F66" s="95"/>
      <c r="G66" s="26">
        <f>(5.01*(B66^0.59)*Z$71)/(86.4*I$24)</f>
        <v>13.972899573192237</v>
      </c>
      <c r="H66" s="81">
        <f t="shared" si="10"/>
        <v>122.69991414807224</v>
      </c>
      <c r="I66" s="42">
        <f t="shared" si="11"/>
        <v>0.71247829477475011</v>
      </c>
      <c r="J66" s="87">
        <v>1.95</v>
      </c>
      <c r="K66" s="56"/>
      <c r="L66" s="56"/>
      <c r="M66" s="83">
        <f t="shared" si="9"/>
        <v>68.733022557022053</v>
      </c>
      <c r="N66" s="10">
        <f t="shared" si="12"/>
        <v>0.61368770140198259</v>
      </c>
      <c r="O66" s="62"/>
      <c r="P66" s="59"/>
      <c r="Q66" s="89">
        <v>112</v>
      </c>
      <c r="R66" s="89"/>
      <c r="AA66" s="5"/>
    </row>
    <row r="67" spans="1:27" x14ac:dyDescent="0.25">
      <c r="A67" s="82" t="s">
        <v>11</v>
      </c>
      <c r="B67" s="31">
        <v>269.60000000000002</v>
      </c>
      <c r="C67" s="95"/>
      <c r="D67" s="10">
        <v>19.59</v>
      </c>
      <c r="E67" s="95"/>
      <c r="F67" s="95"/>
      <c r="G67" s="26">
        <f>(5.01*(B67^0.59)*Z$71)/(86.4*I$25)</f>
        <v>21.181280462958274</v>
      </c>
      <c r="H67" s="81">
        <f t="shared" si="10"/>
        <v>8512.2983889372044</v>
      </c>
      <c r="I67" s="42">
        <f t="shared" si="11"/>
        <v>1.013376507453692</v>
      </c>
      <c r="J67" s="87">
        <v>1.95</v>
      </c>
      <c r="K67" s="56"/>
      <c r="L67" s="56"/>
      <c r="M67" s="83">
        <f t="shared" si="9"/>
        <v>212.33302255702208</v>
      </c>
      <c r="N67" s="10">
        <f t="shared" si="12"/>
        <v>1.7447249182992774</v>
      </c>
      <c r="O67" s="83"/>
      <c r="P67" s="83"/>
      <c r="Q67" s="89">
        <v>121.7</v>
      </c>
      <c r="R67" s="89"/>
      <c r="AA67" s="5"/>
    </row>
    <row r="68" spans="1:27" x14ac:dyDescent="0.25">
      <c r="A68" s="82" t="s">
        <v>12</v>
      </c>
      <c r="B68" s="12">
        <v>1983</v>
      </c>
      <c r="C68" s="12">
        <v>1983</v>
      </c>
      <c r="D68" s="12">
        <v>1983</v>
      </c>
      <c r="E68" s="12">
        <v>1983</v>
      </c>
      <c r="F68" s="12">
        <v>1983</v>
      </c>
      <c r="G68" s="12">
        <v>1983</v>
      </c>
      <c r="H68" s="12">
        <v>1983</v>
      </c>
      <c r="I68" s="12">
        <v>1983</v>
      </c>
      <c r="J68" s="47" t="s">
        <v>70</v>
      </c>
      <c r="K68" s="27"/>
      <c r="L68" s="27"/>
      <c r="M68" s="39" t="s">
        <v>60</v>
      </c>
      <c r="N68" s="39" t="s">
        <v>73</v>
      </c>
      <c r="O68" s="105" t="s">
        <v>57</v>
      </c>
      <c r="P68" s="105"/>
      <c r="Q68" s="90" t="s">
        <v>76</v>
      </c>
      <c r="R68" s="90"/>
      <c r="S68" s="54"/>
      <c r="U68" s="5"/>
      <c r="V68" s="5"/>
      <c r="W68" s="5"/>
      <c r="X68" s="5"/>
      <c r="Y68" s="5"/>
      <c r="Z68" s="5"/>
    </row>
    <row r="69" spans="1:27" ht="15" customHeight="1" x14ac:dyDescent="0.25">
      <c r="A69" s="82" t="s">
        <v>0</v>
      </c>
      <c r="B69" s="31">
        <v>352.1</v>
      </c>
      <c r="C69" s="95" t="s">
        <v>80</v>
      </c>
      <c r="D69" s="1">
        <v>24801</v>
      </c>
      <c r="E69" s="95" t="s">
        <v>80</v>
      </c>
      <c r="F69" s="95" t="s">
        <v>79</v>
      </c>
      <c r="G69" s="26">
        <f>(5.01*(B69^0.59)*Z$71)/(86.4*I$14)</f>
        <v>24.794789849320079</v>
      </c>
      <c r="H69" s="81">
        <f>(($K$30*(EXP(1))^($L$30*N69))/1000)*$Z$71</f>
        <v>19482.08333007657</v>
      </c>
      <c r="I69" s="42">
        <f>((L$32^(J69-(0.6458446*LN(P$36))-(9.53942*N69*(P$36/P$35))+(4.8904*N69)))/1000)*$Z$71</f>
        <v>16.980932692987629</v>
      </c>
      <c r="J69" s="87">
        <v>4.7</v>
      </c>
      <c r="K69" s="56"/>
      <c r="L69" s="56"/>
      <c r="M69" s="83">
        <f t="shared" ref="M69:M80" si="13">(B69-(0.74*P$70))</f>
        <v>248.65061719723641</v>
      </c>
      <c r="N69" s="10">
        <f>M69/Q69</f>
        <v>1.9656175272508807</v>
      </c>
      <c r="O69" s="50" t="s">
        <v>58</v>
      </c>
      <c r="P69" s="83">
        <f>(B69+B70+B71+B72+B73+B74+B75+B76+B77+B78+B79+B80)/12</f>
        <v>200.97499999999994</v>
      </c>
      <c r="Q69" s="89">
        <v>126.5</v>
      </c>
      <c r="R69" s="89"/>
      <c r="S69" s="53"/>
      <c r="X69" s="5"/>
      <c r="Y69" s="5"/>
      <c r="Z69" s="5"/>
    </row>
    <row r="70" spans="1:27" x14ac:dyDescent="0.25">
      <c r="A70" s="82" t="s">
        <v>1</v>
      </c>
      <c r="B70" s="31">
        <v>269.7</v>
      </c>
      <c r="C70" s="95"/>
      <c r="D70" s="1">
        <v>22725</v>
      </c>
      <c r="E70" s="95"/>
      <c r="F70" s="95"/>
      <c r="G70" s="26">
        <f>(5.01*(B70^0.59)*Z$71)/(86.4*J$15)</f>
        <v>22.647013099089719</v>
      </c>
      <c r="H70" s="81">
        <f t="shared" ref="H70:H80" si="14">(($K$30*(EXP(1))^($L$30*N70))/1000)*$Z$71</f>
        <v>2827.565483088059</v>
      </c>
      <c r="I70" s="42">
        <f t="shared" ref="I70:I80" si="15">((L$32^(J70-(0.6458446*LN(P$36))-(9.53942*N70*(P$36/P$35))+(4.8904*N70)))/1000)*$Z$71</f>
        <v>14.46463204269358</v>
      </c>
      <c r="J70" s="87">
        <v>4.7</v>
      </c>
      <c r="K70" s="56"/>
      <c r="L70" s="56"/>
      <c r="M70" s="83">
        <f t="shared" si="13"/>
        <v>166.25061719723638</v>
      </c>
      <c r="N70" s="10">
        <f t="shared" ref="N70:N80" si="16">M70/Q70</f>
        <v>1.4507034659444711</v>
      </c>
      <c r="O70" s="50" t="s">
        <v>66</v>
      </c>
      <c r="P70" s="83">
        <f>((((B69-P69)^2+(B70-P69)^2+(B71-P69)^2+(B72-P69)^2+(B73-P69)^2+(B74-P69)^2+(B75-P69)^2+(B76-P69)^2+(B77-P69)^2+(B78-P69)^2+(B79-P69)^2+(B80-P69)^2))/(12-1))^0.5</f>
        <v>139.79646324697785</v>
      </c>
      <c r="Q70" s="89">
        <v>114.6</v>
      </c>
      <c r="R70" s="89"/>
      <c r="S70" s="5" t="s">
        <v>38</v>
      </c>
      <c r="T70" s="5"/>
      <c r="U70" s="5"/>
      <c r="V70" s="5"/>
      <c r="W70" s="5"/>
      <c r="X70" s="5"/>
      <c r="Y70" s="5"/>
      <c r="Z70" s="5"/>
      <c r="AA70" s="5"/>
    </row>
    <row r="71" spans="1:27" x14ac:dyDescent="0.25">
      <c r="A71" s="82" t="s">
        <v>2</v>
      </c>
      <c r="B71" s="31">
        <v>313.89999999999998</v>
      </c>
      <c r="C71" s="95"/>
      <c r="D71" s="1">
        <v>23395</v>
      </c>
      <c r="E71" s="95"/>
      <c r="F71" s="95"/>
      <c r="G71" s="26">
        <f>(5.01*(B71^0.59)*Z$71)/(86.4*I$16)</f>
        <v>23.170443852702082</v>
      </c>
      <c r="H71" s="81">
        <f t="shared" si="14"/>
        <v>5212.5975261060239</v>
      </c>
      <c r="I71" s="42">
        <f t="shared" si="15"/>
        <v>15.218838797324976</v>
      </c>
      <c r="J71" s="87">
        <v>4.7</v>
      </c>
      <c r="K71" s="56"/>
      <c r="L71" s="58"/>
      <c r="M71" s="83">
        <f t="shared" si="13"/>
        <v>210.45061719723637</v>
      </c>
      <c r="N71" s="10">
        <f t="shared" si="16"/>
        <v>1.6138851012058002</v>
      </c>
      <c r="O71" s="83"/>
      <c r="P71" s="83"/>
      <c r="Q71" s="89">
        <v>130.4</v>
      </c>
      <c r="R71" s="89"/>
      <c r="S71" s="5" t="s">
        <v>39</v>
      </c>
      <c r="T71" s="5"/>
      <c r="U71" s="5"/>
      <c r="V71" s="5"/>
      <c r="W71" s="5"/>
      <c r="X71" s="5"/>
      <c r="Y71" t="s">
        <v>35</v>
      </c>
      <c r="Z71" s="15">
        <v>416.74</v>
      </c>
      <c r="AA71" t="s">
        <v>36</v>
      </c>
    </row>
    <row r="72" spans="1:27" x14ac:dyDescent="0.25">
      <c r="A72" s="82" t="s">
        <v>3</v>
      </c>
      <c r="B72" s="31">
        <v>380.9</v>
      </c>
      <c r="C72" s="95"/>
      <c r="D72" s="1">
        <v>26625</v>
      </c>
      <c r="E72" s="95"/>
      <c r="F72" s="95"/>
      <c r="G72" s="26">
        <f>(5.01*(B72^0.59)*Z$71)/(86.4*I$17)</f>
        <v>26.837767730025412</v>
      </c>
      <c r="H72" s="81">
        <f t="shared" si="14"/>
        <v>41534.845441578145</v>
      </c>
      <c r="I72" s="42">
        <f t="shared" si="15"/>
        <v>18.083482888380136</v>
      </c>
      <c r="J72" s="87">
        <v>4.7</v>
      </c>
      <c r="K72" s="56"/>
      <c r="L72" s="56"/>
      <c r="M72" s="83">
        <f t="shared" si="13"/>
        <v>277.4506171972364</v>
      </c>
      <c r="N72" s="10">
        <f t="shared" si="16"/>
        <v>2.1675829468534094</v>
      </c>
      <c r="O72" s="59"/>
      <c r="P72" s="59"/>
      <c r="Q72" s="89">
        <v>128</v>
      </c>
      <c r="R72" s="89"/>
      <c r="S72" s="5" t="s">
        <v>40</v>
      </c>
      <c r="T72" s="5"/>
      <c r="U72" s="5"/>
      <c r="V72" s="5"/>
      <c r="W72" s="5"/>
      <c r="X72" s="5"/>
      <c r="Y72" s="5"/>
      <c r="Z72" s="5"/>
      <c r="AA72" s="5"/>
    </row>
    <row r="73" spans="1:27" x14ac:dyDescent="0.25">
      <c r="A73" s="82" t="s">
        <v>4</v>
      </c>
      <c r="B73" s="31">
        <v>325.3</v>
      </c>
      <c r="C73" s="95"/>
      <c r="D73" s="1">
        <v>25114</v>
      </c>
      <c r="E73" s="95"/>
      <c r="F73" s="95"/>
      <c r="G73" s="26">
        <f>(5.01*(B73^0.59)*Z$71)/(86.4*I$18)</f>
        <v>23.663287173628184</v>
      </c>
      <c r="H73" s="81">
        <f t="shared" si="14"/>
        <v>10273.990320039846</v>
      </c>
      <c r="I73" s="42">
        <f t="shared" si="15"/>
        <v>16.101601653686405</v>
      </c>
      <c r="J73" s="87">
        <v>4.7</v>
      </c>
      <c r="K73" s="56"/>
      <c r="L73" s="56"/>
      <c r="M73" s="83">
        <f t="shared" si="13"/>
        <v>221.8506171972364</v>
      </c>
      <c r="N73" s="10">
        <f t="shared" si="16"/>
        <v>1.7949079061265083</v>
      </c>
      <c r="O73" s="59"/>
      <c r="P73" s="59"/>
      <c r="Q73" s="89">
        <v>123.6</v>
      </c>
      <c r="R73" s="89"/>
      <c r="S73" s="5" t="s">
        <v>41</v>
      </c>
      <c r="T73" s="5"/>
      <c r="U73" s="5"/>
      <c r="V73" s="5"/>
      <c r="W73" s="5"/>
      <c r="X73" s="5"/>
      <c r="Y73" s="5"/>
      <c r="Z73" s="5"/>
      <c r="AA73" s="5"/>
    </row>
    <row r="74" spans="1:27" x14ac:dyDescent="0.25">
      <c r="A74" s="82" t="s">
        <v>5</v>
      </c>
      <c r="B74" s="31">
        <v>202.7</v>
      </c>
      <c r="C74" s="95"/>
      <c r="D74" s="1">
        <v>19685</v>
      </c>
      <c r="E74" s="95"/>
      <c r="F74" s="95"/>
      <c r="G74" s="26">
        <f>(5.01*(B74^0.59)*Z$71)/(86.4*I$19)</f>
        <v>18.49744002175531</v>
      </c>
      <c r="H74" s="81">
        <f t="shared" si="14"/>
        <v>367.57380347925778</v>
      </c>
      <c r="I74" s="42">
        <f t="shared" si="15"/>
        <v>5.4858234367155179</v>
      </c>
      <c r="J74" s="87">
        <v>3.9</v>
      </c>
      <c r="K74" s="56"/>
      <c r="L74" s="56"/>
      <c r="M74" s="83">
        <f t="shared" si="13"/>
        <v>99.25061719723638</v>
      </c>
      <c r="N74" s="10">
        <f>M74/Q74</f>
        <v>0.90639833056836872</v>
      </c>
      <c r="O74" s="59"/>
      <c r="P74" s="59"/>
      <c r="Q74" s="89">
        <v>109.5</v>
      </c>
      <c r="R74" s="89"/>
      <c r="S74" s="10"/>
      <c r="T74" t="s">
        <v>42</v>
      </c>
      <c r="AA74" s="5"/>
    </row>
    <row r="75" spans="1:27" x14ac:dyDescent="0.25">
      <c r="A75" s="82" t="s">
        <v>6</v>
      </c>
      <c r="B75" s="31">
        <v>292.60000000000002</v>
      </c>
      <c r="C75" s="95"/>
      <c r="D75" s="1">
        <v>22125</v>
      </c>
      <c r="E75" s="95"/>
      <c r="F75" s="95"/>
      <c r="G75" s="26">
        <f>(5.01*(B75^0.59)*Z$71)/(86.4*I$20)</f>
        <v>22.229481185270973</v>
      </c>
      <c r="H75" s="81">
        <f t="shared" si="14"/>
        <v>10196.834476029471</v>
      </c>
      <c r="I75" s="42">
        <f t="shared" si="15"/>
        <v>1.613317062339368</v>
      </c>
      <c r="J75" s="87">
        <v>2.4</v>
      </c>
      <c r="K75" s="56"/>
      <c r="L75" s="56"/>
      <c r="M75" s="83">
        <f t="shared" si="13"/>
        <v>189.15061719723641</v>
      </c>
      <c r="N75" s="10">
        <f t="shared" si="16"/>
        <v>1.7928968454714351</v>
      </c>
      <c r="O75" s="59"/>
      <c r="P75" s="59"/>
      <c r="Q75" s="89">
        <v>105.5</v>
      </c>
      <c r="R75" s="89"/>
      <c r="S75" s="10"/>
      <c r="T75" t="s">
        <v>43</v>
      </c>
      <c r="AA75" s="5"/>
    </row>
    <row r="76" spans="1:27" ht="15.75" customHeight="1" x14ac:dyDescent="0.25">
      <c r="A76" s="82" t="s">
        <v>7</v>
      </c>
      <c r="B76" s="31">
        <v>109.9</v>
      </c>
      <c r="C76" s="95"/>
      <c r="D76" s="1">
        <v>14679</v>
      </c>
      <c r="E76" s="95"/>
      <c r="F76" s="95"/>
      <c r="G76" s="26">
        <f>(5.01*(B76^0.59)*Z$71)/(86.4*I$21)</f>
        <v>12.474298020784525</v>
      </c>
      <c r="H76" s="81">
        <f t="shared" si="14"/>
        <v>15.506318100923945</v>
      </c>
      <c r="I76" s="42">
        <f t="shared" si="15"/>
        <v>0.25643184430917793</v>
      </c>
      <c r="J76" s="87">
        <v>1.1000000000000001</v>
      </c>
      <c r="K76" s="56"/>
      <c r="L76" s="56"/>
      <c r="M76" s="83">
        <f t="shared" si="13"/>
        <v>6.4506171972363973</v>
      </c>
      <c r="N76" s="10">
        <f t="shared" si="16"/>
        <v>6.1846761239083392E-2</v>
      </c>
      <c r="O76" s="60"/>
      <c r="P76" s="59"/>
      <c r="Q76" s="89">
        <v>104.3</v>
      </c>
      <c r="R76" s="89"/>
      <c r="S76" s="10"/>
      <c r="T76" t="s">
        <v>44</v>
      </c>
      <c r="AA76" s="5"/>
    </row>
    <row r="77" spans="1:27" x14ac:dyDescent="0.25">
      <c r="A77" s="82" t="s">
        <v>8</v>
      </c>
      <c r="B77" s="31">
        <v>113.7</v>
      </c>
      <c r="C77" s="95"/>
      <c r="D77" s="1">
        <v>12144</v>
      </c>
      <c r="E77" s="95"/>
      <c r="F77" s="95"/>
      <c r="G77" s="26">
        <f>(5.01*(B77^0.59)*Z$71)/(86.4*I$22)</f>
        <v>13.151236573535789</v>
      </c>
      <c r="H77" s="81">
        <f t="shared" si="14"/>
        <v>17.95691144544449</v>
      </c>
      <c r="I77" s="42">
        <f t="shared" si="15"/>
        <v>0.25957757395313841</v>
      </c>
      <c r="J77" s="87">
        <v>1.1000000000000001</v>
      </c>
      <c r="K77" s="56"/>
      <c r="L77" s="56"/>
      <c r="M77" s="83">
        <f t="shared" si="13"/>
        <v>10.250617197236394</v>
      </c>
      <c r="N77" s="10">
        <f t="shared" si="16"/>
        <v>0.10099130243582655</v>
      </c>
      <c r="O77" s="59"/>
      <c r="P77" s="59"/>
      <c r="Q77" s="89">
        <v>101.5</v>
      </c>
      <c r="R77" s="89"/>
      <c r="S77" s="10"/>
      <c r="T77" t="s">
        <v>45</v>
      </c>
      <c r="AA77" s="5"/>
    </row>
    <row r="78" spans="1:27" ht="18.75" x14ac:dyDescent="0.3">
      <c r="A78" s="82" t="s">
        <v>9</v>
      </c>
      <c r="B78" s="31">
        <v>0.6</v>
      </c>
      <c r="C78" s="95"/>
      <c r="D78" s="1">
        <v>3768</v>
      </c>
      <c r="E78" s="95"/>
      <c r="F78" s="95"/>
      <c r="G78" s="26">
        <f>(5.01*(B78^0.59)*Z$71)/(86.4*I$23)</f>
        <v>0.57668242319148233</v>
      </c>
      <c r="H78" s="81">
        <f t="shared" si="14"/>
        <v>0.3521437280543242</v>
      </c>
      <c r="I78" s="42">
        <f>((L$32^(J78-(0.6458446*LN(P$36))-(9.53942*N78*(P$36/P$35))+(4.8904*N78)))/1000)*$Z$71</f>
        <v>0.6870054324257695</v>
      </c>
      <c r="J78" s="87">
        <v>2.4</v>
      </c>
      <c r="K78" s="56"/>
      <c r="L78" s="56"/>
      <c r="M78" s="83">
        <f t="shared" si="13"/>
        <v>-102.84938280276361</v>
      </c>
      <c r="N78" s="10">
        <f t="shared" si="16"/>
        <v>-0.9479205788273144</v>
      </c>
      <c r="O78" s="61"/>
      <c r="P78" s="62"/>
      <c r="Q78" s="89">
        <v>108.5</v>
      </c>
      <c r="R78" s="89"/>
      <c r="S78" s="53"/>
      <c r="T78" s="5"/>
      <c r="U78" s="5"/>
      <c r="V78" s="5"/>
    </row>
    <row r="79" spans="1:27" x14ac:dyDescent="0.25">
      <c r="A79" s="82" t="s">
        <v>10</v>
      </c>
      <c r="B79" s="31">
        <v>8.6999999999999993</v>
      </c>
      <c r="C79" s="95"/>
      <c r="D79" s="1">
        <v>1682</v>
      </c>
      <c r="E79" s="95"/>
      <c r="F79" s="95"/>
      <c r="G79" s="26">
        <f>(5.01*(B79^0.59)*Z$71)/(86.4*I$24)</f>
        <v>2.8865844988698779</v>
      </c>
      <c r="H79" s="81">
        <f t="shared" si="14"/>
        <v>0.5160280925598717</v>
      </c>
      <c r="I79" s="42">
        <f t="shared" si="15"/>
        <v>3.1782802800223688</v>
      </c>
      <c r="J79" s="87">
        <v>3.9</v>
      </c>
      <c r="K79" s="56"/>
      <c r="L79" s="56"/>
      <c r="M79" s="83">
        <f t="shared" si="13"/>
        <v>-94.749382802763606</v>
      </c>
      <c r="N79" s="10">
        <f t="shared" si="16"/>
        <v>-0.84597663216753216</v>
      </c>
      <c r="O79" s="62"/>
      <c r="P79" s="59"/>
      <c r="Q79" s="89">
        <v>112</v>
      </c>
      <c r="R79" s="89"/>
      <c r="S79" s="53"/>
      <c r="T79" s="5"/>
      <c r="U79" s="5"/>
      <c r="V79" s="5"/>
    </row>
    <row r="80" spans="1:27" x14ac:dyDescent="0.25">
      <c r="A80" s="82" t="s">
        <v>11</v>
      </c>
      <c r="B80" s="31">
        <v>41.6</v>
      </c>
      <c r="C80" s="95"/>
      <c r="D80" s="1">
        <v>4933</v>
      </c>
      <c r="E80" s="95"/>
      <c r="F80" s="95"/>
      <c r="G80" s="26">
        <f>(5.01*(B80^0.59)*Z$71)/(86.4*I$25)</f>
        <v>7.032221506203749</v>
      </c>
      <c r="H80" s="81">
        <f t="shared" si="14"/>
        <v>1.8302767857702169</v>
      </c>
      <c r="I80" s="42">
        <f t="shared" si="15"/>
        <v>3.5308784416318186</v>
      </c>
      <c r="J80" s="87">
        <v>3.9</v>
      </c>
      <c r="K80" s="56"/>
      <c r="L80" s="56"/>
      <c r="M80" s="83">
        <f t="shared" si="13"/>
        <v>-61.849382802763607</v>
      </c>
      <c r="N80" s="10">
        <f t="shared" si="16"/>
        <v>-0.50821185540479541</v>
      </c>
      <c r="O80" s="83"/>
      <c r="P80" s="83"/>
      <c r="Q80" s="89">
        <v>121.7</v>
      </c>
      <c r="R80" s="89"/>
      <c r="S80" s="53" t="s">
        <v>13</v>
      </c>
      <c r="T80" s="5" t="s">
        <v>14</v>
      </c>
      <c r="U80" s="5" t="s">
        <v>15</v>
      </c>
      <c r="V80" s="5"/>
    </row>
    <row r="81" spans="1:22" x14ac:dyDescent="0.25">
      <c r="A81" s="82" t="s">
        <v>12</v>
      </c>
      <c r="B81" s="83">
        <v>1984</v>
      </c>
      <c r="C81" s="83">
        <v>1984</v>
      </c>
      <c r="D81" s="83">
        <v>1984</v>
      </c>
      <c r="E81" s="83">
        <v>1984</v>
      </c>
      <c r="F81" s="83">
        <v>1984</v>
      </c>
      <c r="G81" s="83">
        <v>1984</v>
      </c>
      <c r="H81" s="83">
        <v>1984</v>
      </c>
      <c r="I81" s="83">
        <v>1984</v>
      </c>
      <c r="J81" s="47" t="s">
        <v>70</v>
      </c>
      <c r="K81" s="27"/>
      <c r="L81" s="27"/>
      <c r="M81" s="39" t="s">
        <v>60</v>
      </c>
      <c r="N81" s="39" t="s">
        <v>73</v>
      </c>
      <c r="O81" s="105" t="s">
        <v>57</v>
      </c>
      <c r="P81" s="105"/>
      <c r="Q81" s="10"/>
      <c r="R81" s="10"/>
      <c r="S81" s="12">
        <v>1984</v>
      </c>
      <c r="T81" s="12">
        <v>1984</v>
      </c>
      <c r="U81" s="12">
        <v>1984</v>
      </c>
      <c r="V81" s="5"/>
    </row>
    <row r="82" spans="1:22" x14ac:dyDescent="0.25">
      <c r="A82" s="82" t="s">
        <v>0</v>
      </c>
      <c r="B82" s="31">
        <v>11.1</v>
      </c>
      <c r="C82" s="10">
        <v>4.4000000000000003E-3</v>
      </c>
      <c r="D82" s="5">
        <v>3.03</v>
      </c>
      <c r="E82" s="16">
        <f>C82*(($Z$71^F$24)*((0.7*B82+0.29*B80+0.01*B79)^(F$20)))</f>
        <v>3.3031744276685333</v>
      </c>
      <c r="F82" s="16">
        <f>S82*(($Z$71^U$82)*(((0.7*B82)+(0.29*B80)+(0.01*B79))^(T$82)))</f>
        <v>1.6586261837552938</v>
      </c>
      <c r="G82" s="121">
        <f>(5.01*(B82^0.59)*Z$71)/(86.4*I$14)</f>
        <v>3.2252845368984082</v>
      </c>
      <c r="H82" s="81">
        <f>(($K$30*(EXP(1))^($L$30*N82))/1000)*$Z$71</f>
        <v>0.94726386730129475</v>
      </c>
      <c r="I82" s="42">
        <f>((L$32^(J82-(0.6458446*LN(P$36))-(9.53942*N82*(P$36/P$35))+(4.8904*N82)))/1000)*$Z$71</f>
        <v>7.4395845243518846</v>
      </c>
      <c r="J82" s="87">
        <v>4.7</v>
      </c>
      <c r="K82" s="74"/>
      <c r="L82" s="56"/>
      <c r="M82" s="83">
        <f>(B82-(0.74*P$83))</f>
        <v>-86.51685258548838</v>
      </c>
      <c r="N82" s="10">
        <f>M82/Q82</f>
        <v>-0.68392768842283302</v>
      </c>
      <c r="O82" s="50" t="s">
        <v>58</v>
      </c>
      <c r="P82" s="82">
        <f>(B82+B83+B84+B85+B86+B87+B88+B89+B90+B91+B92+B93)/12</f>
        <v>82.75833333333334</v>
      </c>
      <c r="Q82" s="89">
        <v>126.5</v>
      </c>
      <c r="R82" s="89"/>
      <c r="S82" s="10">
        <v>4.0270000000000002E-3</v>
      </c>
      <c r="T82" s="10">
        <v>0.48</v>
      </c>
      <c r="U82" s="10">
        <v>0.76</v>
      </c>
      <c r="V82" s="5"/>
    </row>
    <row r="83" spans="1:22" x14ac:dyDescent="0.25">
      <c r="A83" s="82" t="s">
        <v>1</v>
      </c>
      <c r="B83" s="31">
        <v>385.6</v>
      </c>
      <c r="C83" s="10">
        <v>7.4000000000000003E-3</v>
      </c>
      <c r="D83" s="5">
        <v>22.748000000000001</v>
      </c>
      <c r="E83" s="16">
        <f>C83*(($Z$71^F$24)*((0.7*B83+0.29*B82+0.01*B80)^(F$20)))</f>
        <v>26.75165555313589</v>
      </c>
      <c r="F83" s="16">
        <f>S83*(($Z$71^U83)*(((0.7*B83)+(0.29*B82)+(0.01*B80))^(T83)))</f>
        <v>6.0402472427023399</v>
      </c>
      <c r="G83" s="26">
        <f>(5.01*(B83^0.59)*Z$71)/(86.4*J$15)</f>
        <v>27.964819323843596</v>
      </c>
      <c r="H83" s="81">
        <f t="shared" ref="H83:H93" si="17">(($K$30*(EXP(1))^($L$30*N83))/1000)*$Z$71</f>
        <v>16.209081608316204</v>
      </c>
      <c r="I83" s="42">
        <f t="shared" ref="I83:I93" si="18">((L$32^(J83-(0.6458446*LN(P$36))-(9.53942*N83*(P$36/P$35))+(4.8904*N83)))/1000)*$Z$71</f>
        <v>9.419583340171009</v>
      </c>
      <c r="J83" s="87">
        <v>4.7</v>
      </c>
      <c r="K83" s="74"/>
      <c r="L83" s="56"/>
      <c r="M83" s="83">
        <f>(B83-(2.8591*P$83))</f>
        <v>8.4427794227434561</v>
      </c>
      <c r="N83" s="10">
        <f>M83/Q83</f>
        <v>7.3671722711548482E-2</v>
      </c>
      <c r="O83" s="50" t="s">
        <v>66</v>
      </c>
      <c r="P83" s="83">
        <f>((((B82-P82)^2+(B83-P82)^2+(B84-P82)^2+(B85-P82)^2+(B86-P82)^2+(B87-P82)^2+(B88-P82)^2+(B89-P82)^2+(B90-P82)^2+(B91-P82)^2+(B92-P82)^2+(B93-P82)^2))/(12-1))^0.5</f>
        <v>131.91466565606538</v>
      </c>
      <c r="Q83" s="89">
        <v>114.6</v>
      </c>
      <c r="R83" s="89"/>
      <c r="S83" s="10">
        <v>6.0060000000000001E-3</v>
      </c>
      <c r="T83" s="10">
        <v>0.45800000000000002</v>
      </c>
      <c r="U83" s="10">
        <v>0.72</v>
      </c>
      <c r="V83" s="5"/>
    </row>
    <row r="84" spans="1:22" x14ac:dyDescent="0.25">
      <c r="A84" s="82" t="s">
        <v>2</v>
      </c>
      <c r="B84" s="31">
        <v>307</v>
      </c>
      <c r="C84" s="10">
        <v>7.1000000000000004E-3</v>
      </c>
      <c r="D84" s="5">
        <v>24.16</v>
      </c>
      <c r="E84" s="16">
        <f>C84*(($Z$71^F$24)*((0.7*B84+0.29*B83+0.01*B82)^(F$20)))</f>
        <v>28.55930492500303</v>
      </c>
      <c r="F84" s="16">
        <f>S84*(($Z$71^U84)*(((0.7*B84)+(0.29*B83)+(0.01*B82))^(T84)))</f>
        <v>12.716847663282815</v>
      </c>
      <c r="G84" s="26">
        <f>(5.01*(B84^0.59)*Z$71)/(86.4*I$16)</f>
        <v>22.868575791894187</v>
      </c>
      <c r="H84" s="81">
        <f>(($K$30*(EXP(1))^($L$30*N84))/1000)*$Z$71</f>
        <v>2.5711850532332599</v>
      </c>
      <c r="I84" s="42">
        <f>((L$32^(J84-(0.6458446*LN(P$36))-(9.53942*N84*(P$36/P$35))+(4.8904*N84)))/1000)*$Z$71</f>
        <v>8.0832294741433302</v>
      </c>
      <c r="J84" s="87">
        <v>4.7</v>
      </c>
      <c r="K84" s="74"/>
      <c r="L84" s="58"/>
      <c r="M84" s="88">
        <f>(B84-(2.74*P$83))</f>
        <v>-54.446183897619164</v>
      </c>
      <c r="N84" s="10">
        <f t="shared" ref="N84:N85" si="19">M84/Q84</f>
        <v>-0.41753208510444145</v>
      </c>
      <c r="O84" s="83"/>
      <c r="P84" s="83"/>
      <c r="Q84" s="89">
        <v>130.4</v>
      </c>
      <c r="R84" s="89"/>
      <c r="S84" s="10">
        <v>6.9985000000000004E-3</v>
      </c>
      <c r="T84" s="10">
        <v>0.49399999999999999</v>
      </c>
      <c r="U84" s="10">
        <v>0.77</v>
      </c>
      <c r="V84" s="5"/>
    </row>
    <row r="85" spans="1:22" x14ac:dyDescent="0.25">
      <c r="A85" s="82" t="s">
        <v>3</v>
      </c>
      <c r="B85" s="31">
        <v>130.1</v>
      </c>
      <c r="C85" s="10">
        <v>6.4000000000000003E-3</v>
      </c>
      <c r="D85" s="5">
        <v>15.683999999999999</v>
      </c>
      <c r="E85" s="16">
        <f t="shared" ref="E84:E93" si="20">C85*(($Z$71^F$24)*((0.7*B85+0.29*B84+0.01*B83)^(F$20)))</f>
        <v>18.234778759429002</v>
      </c>
      <c r="F85" s="16">
        <f>S85*(($Z$71^U85)*(((0.7*B85)+(0.29*B84)+(0.01*B83))^(T85)))</f>
        <v>6.8757923192263188</v>
      </c>
      <c r="G85" s="26">
        <f>(5.01*(B85^0.59)*Z$71)/(86.4*I$17)</f>
        <v>14.239394460274729</v>
      </c>
      <c r="H85" s="81">
        <f t="shared" si="17"/>
        <v>0.66876105431997412</v>
      </c>
      <c r="I85" s="42">
        <f t="shared" si="18"/>
        <v>7.2274376175840915</v>
      </c>
      <c r="J85" s="87">
        <v>4.7</v>
      </c>
      <c r="K85" s="44" t="s">
        <v>71</v>
      </c>
      <c r="L85" s="56"/>
      <c r="M85" s="83">
        <f>(B85-(1.74*P$83))</f>
        <v>-99.431518241553761</v>
      </c>
      <c r="N85" s="10">
        <f t="shared" si="19"/>
        <v>-0.77680873626213875</v>
      </c>
      <c r="O85" s="83"/>
      <c r="P85" s="83"/>
      <c r="Q85" s="89">
        <v>128</v>
      </c>
      <c r="R85" s="89"/>
      <c r="S85" s="10">
        <v>6.4270000000000004E-3</v>
      </c>
      <c r="T85" s="10">
        <v>0.47</v>
      </c>
      <c r="U85" s="10">
        <v>0.75</v>
      </c>
      <c r="V85" s="5"/>
    </row>
    <row r="86" spans="1:22" x14ac:dyDescent="0.25">
      <c r="A86" s="82" t="s">
        <v>4</v>
      </c>
      <c r="B86" s="31">
        <v>29.6</v>
      </c>
      <c r="C86" s="10">
        <v>5.1000000000000004E-3</v>
      </c>
      <c r="D86" s="5">
        <v>6.6859999999999999</v>
      </c>
      <c r="E86" s="16">
        <f t="shared" si="20"/>
        <v>7.5312642573034783</v>
      </c>
      <c r="F86" s="16">
        <f t="shared" ref="F84:F93" si="21">S86*(($Z$71^U86)*(((0.7*B86)+(0.29*B85)+(0.01*B84))^(T86)))</f>
        <v>4.0334360740431174</v>
      </c>
      <c r="G86" s="26">
        <f>(5.01*(B86^0.59)*Z$71)/(86.4*I$18)</f>
        <v>5.7529365806998358</v>
      </c>
      <c r="H86" s="81">
        <f t="shared" si="17"/>
        <v>1.5631654816032172</v>
      </c>
      <c r="I86" s="42">
        <f>((L$32^(J86-(0.6458446*LN(P$36))-(9.53942*N86*(P$36/P$35))+(4.8904*N86)))/1000)*$Z$71</f>
        <v>7.7557749093027493</v>
      </c>
      <c r="J86" s="87">
        <v>4.7</v>
      </c>
      <c r="K86" s="74"/>
      <c r="L86" s="56"/>
      <c r="M86" s="83">
        <f t="shared" ref="M86:M92" si="22">(B86-(0.74*P$83))</f>
        <v>-68.01685258548838</v>
      </c>
      <c r="N86" s="10">
        <f t="shared" ref="N86:N93" si="23">M86/Q86</f>
        <v>-0.5502981600767668</v>
      </c>
      <c r="O86" s="59"/>
      <c r="P86" s="59"/>
      <c r="Q86" s="89">
        <v>123.6</v>
      </c>
      <c r="R86" s="89"/>
      <c r="S86" s="10">
        <v>5.0930000000000003E-3</v>
      </c>
      <c r="T86" s="10">
        <v>0.5</v>
      </c>
      <c r="U86" s="10">
        <v>0.76500000000000001</v>
      </c>
      <c r="V86" s="5"/>
    </row>
    <row r="87" spans="1:22" x14ac:dyDescent="0.25">
      <c r="A87" s="82" t="s">
        <v>5</v>
      </c>
      <c r="B87" s="31">
        <v>7.9</v>
      </c>
      <c r="C87" s="10">
        <v>4.1999999999999997E-3</v>
      </c>
      <c r="D87" s="5">
        <v>2.4980000000000002</v>
      </c>
      <c r="E87" s="16">
        <f t="shared" si="20"/>
        <v>2.7033828711932046</v>
      </c>
      <c r="F87" s="16">
        <f t="shared" si="21"/>
        <v>3.2249325024527731</v>
      </c>
      <c r="G87" s="26">
        <f>(5.01*(B87^0.59)*Z$71)/(86.4*I$19)</f>
        <v>2.726891762043016</v>
      </c>
      <c r="H87" s="81">
        <f t="shared" si="17"/>
        <v>0.57022710747440897</v>
      </c>
      <c r="I87" s="42">
        <f t="shared" si="18"/>
        <v>3.2047673226018403</v>
      </c>
      <c r="J87" s="87">
        <v>3.9</v>
      </c>
      <c r="K87" s="74"/>
      <c r="L87" s="56"/>
      <c r="M87" s="83">
        <f t="shared" si="22"/>
        <v>-89.716852585488368</v>
      </c>
      <c r="N87" s="10">
        <f t="shared" si="23"/>
        <v>-0.81933198708208554</v>
      </c>
      <c r="O87" s="59"/>
      <c r="P87" s="59"/>
      <c r="Q87" s="89">
        <v>109.5</v>
      </c>
      <c r="R87" s="89"/>
      <c r="S87" s="10">
        <v>4.8459999999999996E-3</v>
      </c>
      <c r="T87" s="10">
        <v>0.53500000000000003</v>
      </c>
      <c r="U87" s="10">
        <v>0.83499999999999996</v>
      </c>
      <c r="V87" s="5"/>
    </row>
    <row r="88" spans="1:22" x14ac:dyDescent="0.25">
      <c r="A88" s="82" t="s">
        <v>6</v>
      </c>
      <c r="B88" s="31">
        <v>1.5</v>
      </c>
      <c r="C88" s="10">
        <v>4.0000000000000001E-3</v>
      </c>
      <c r="D88" s="5">
        <v>1.0429999999999999</v>
      </c>
      <c r="E88" s="16">
        <f t="shared" si="20"/>
        <v>1.0824257666004113</v>
      </c>
      <c r="F88" s="16">
        <f t="shared" si="21"/>
        <v>2.00758055245266</v>
      </c>
      <c r="G88" s="26">
        <f>(5.01*(B88^0.59)*Z$71)/(86.4*I$20)</f>
        <v>0.99019634694337466</v>
      </c>
      <c r="H88" s="81">
        <f t="shared" si="17"/>
        <v>0.40431934859035223</v>
      </c>
      <c r="I88" s="42">
        <f t="shared" si="18"/>
        <v>0.69493853797573979</v>
      </c>
      <c r="J88" s="87">
        <v>2.4</v>
      </c>
      <c r="K88" s="74"/>
      <c r="L88" s="56"/>
      <c r="M88" s="83">
        <f t="shared" si="22"/>
        <v>-96.116852585488374</v>
      </c>
      <c r="N88" s="10">
        <f t="shared" si="23"/>
        <v>-0.91106021408045856</v>
      </c>
      <c r="O88" s="59"/>
      <c r="P88" s="59"/>
      <c r="Q88" s="89">
        <v>105.5</v>
      </c>
      <c r="R88" s="89"/>
      <c r="S88" s="10">
        <v>5.3010000000000002E-3</v>
      </c>
      <c r="T88" s="10">
        <v>0.57999999999999996</v>
      </c>
      <c r="U88" s="10">
        <v>0.86</v>
      </c>
      <c r="V88" s="5"/>
    </row>
    <row r="89" spans="1:22" x14ac:dyDescent="0.25">
      <c r="A89" s="82" t="s">
        <v>7</v>
      </c>
      <c r="B89" s="31">
        <v>3.8</v>
      </c>
      <c r="C89" s="10">
        <v>4.0000000000000001E-3</v>
      </c>
      <c r="D89" s="5">
        <v>0.96499999999999997</v>
      </c>
      <c r="E89" s="16">
        <f t="shared" si="20"/>
        <v>0.99750778704611121</v>
      </c>
      <c r="F89" s="16">
        <f t="shared" si="21"/>
        <v>0.49052964615577582</v>
      </c>
      <c r="G89" s="26">
        <f>(5.01*(B89^0.59)*Z$71)/(86.4*I$21)</f>
        <v>1.7135619064175267</v>
      </c>
      <c r="H89" s="81">
        <f t="shared" si="17"/>
        <v>0.42223947498250625</v>
      </c>
      <c r="I89" s="42">
        <f t="shared" si="18"/>
        <v>0.19007659884287631</v>
      </c>
      <c r="J89" s="87">
        <v>1.1000000000000001</v>
      </c>
      <c r="K89" s="74"/>
      <c r="L89" s="56"/>
      <c r="M89" s="83">
        <f t="shared" si="22"/>
        <v>-93.816852585488377</v>
      </c>
      <c r="N89" s="10">
        <f t="shared" si="23"/>
        <v>-0.89949043706125009</v>
      </c>
      <c r="O89" s="60"/>
      <c r="P89" s="59"/>
      <c r="Q89" s="89">
        <v>104.3</v>
      </c>
      <c r="R89" s="89"/>
      <c r="S89" s="10">
        <v>3.79E-3</v>
      </c>
      <c r="T89" s="10">
        <v>0.45</v>
      </c>
      <c r="U89" s="10">
        <v>0.72</v>
      </c>
      <c r="V89" s="5"/>
    </row>
    <row r="90" spans="1:22" x14ac:dyDescent="0.25">
      <c r="A90" s="82" t="s">
        <v>8</v>
      </c>
      <c r="B90" s="31">
        <v>2.2000000000000002</v>
      </c>
      <c r="C90" s="10">
        <v>4.0000000000000001E-3</v>
      </c>
      <c r="D90" s="5">
        <v>0.872</v>
      </c>
      <c r="E90" s="16">
        <f t="shared" si="20"/>
        <v>0.89657592695281085</v>
      </c>
      <c r="F90" s="16">
        <f t="shared" si="21"/>
        <v>0.33973196129333344</v>
      </c>
      <c r="G90" s="26">
        <f>(5.01*(B90^0.59)*Z$71)/(86.4*I$22)</f>
        <v>1.2826179034881051</v>
      </c>
      <c r="H90" s="81">
        <f t="shared" si="17"/>
        <v>0.36266352100274712</v>
      </c>
      <c r="I90" s="42">
        <f t="shared" si="18"/>
        <v>0.18768936078787213</v>
      </c>
      <c r="J90" s="87">
        <v>1.1000000000000001</v>
      </c>
      <c r="K90" s="74"/>
      <c r="L90" s="56"/>
      <c r="M90" s="83">
        <f t="shared" si="22"/>
        <v>-95.416852585488371</v>
      </c>
      <c r="N90" s="10">
        <f t="shared" si="23"/>
        <v>-0.94006751315752091</v>
      </c>
      <c r="O90" s="59"/>
      <c r="P90" s="59"/>
      <c r="Q90" s="89">
        <v>101.5</v>
      </c>
      <c r="R90" s="89"/>
      <c r="S90" s="10">
        <v>3.0500000000000002E-3</v>
      </c>
      <c r="T90" s="10">
        <v>0.44</v>
      </c>
      <c r="U90" s="10">
        <v>0.71</v>
      </c>
      <c r="V90" s="5"/>
    </row>
    <row r="91" spans="1:22" ht="18.75" x14ac:dyDescent="0.3">
      <c r="A91" s="82" t="s">
        <v>9</v>
      </c>
      <c r="B91" s="31">
        <v>1</v>
      </c>
      <c r="C91" s="10">
        <v>4.0000000000000001E-3</v>
      </c>
      <c r="D91" s="5">
        <v>0.59899999999999998</v>
      </c>
      <c r="E91" s="16">
        <f t="shared" si="20"/>
        <v>0.60411998311006476</v>
      </c>
      <c r="F91" s="16">
        <f t="shared" si="21"/>
        <v>0.41796217490771381</v>
      </c>
      <c r="G91" s="26">
        <f>(5.01*(B91^0.59)*Z$71)/(86.4*I$23)</f>
        <v>0.7795203853046595</v>
      </c>
      <c r="H91" s="81">
        <f t="shared" si="17"/>
        <v>0.4367473037775006</v>
      </c>
      <c r="I91" s="42">
        <f>((L$32^(J91-(0.6458446*LN(P$36))-(9.53942*N91*(P$36/P$35))+(4.8904*N91)))/1000)*$Z$71</f>
        <v>0.6994080623558826</v>
      </c>
      <c r="J91" s="87">
        <v>2.4</v>
      </c>
      <c r="K91" s="74"/>
      <c r="L91" s="56"/>
      <c r="M91" s="83">
        <f t="shared" si="22"/>
        <v>-96.616852585488374</v>
      </c>
      <c r="N91" s="10">
        <f t="shared" si="23"/>
        <v>-0.89047790401371774</v>
      </c>
      <c r="O91" s="61"/>
      <c r="P91" s="62"/>
      <c r="Q91" s="89">
        <v>108.5</v>
      </c>
      <c r="R91" s="89"/>
      <c r="S91" s="10">
        <v>4.0800000000000003E-3</v>
      </c>
      <c r="T91" s="10">
        <v>0.48</v>
      </c>
      <c r="U91" s="10">
        <v>0.74199999999999999</v>
      </c>
      <c r="V91" s="5"/>
    </row>
    <row r="92" spans="1:22" x14ac:dyDescent="0.25">
      <c r="A92" s="82" t="s">
        <v>10</v>
      </c>
      <c r="B92" s="31">
        <v>0.8</v>
      </c>
      <c r="C92" s="10">
        <v>4.0000000000000001E-3</v>
      </c>
      <c r="D92" s="5">
        <v>0.46100000000000002</v>
      </c>
      <c r="E92" s="16">
        <f t="shared" si="20"/>
        <v>0.45947515421734297</v>
      </c>
      <c r="F92" s="16">
        <f t="shared" si="21"/>
        <v>0.38976613125859372</v>
      </c>
      <c r="G92" s="26">
        <f>(5.01*(B92^0.59)*Z$71)/(86.4*I$24)</f>
        <v>0.70614031730816851</v>
      </c>
      <c r="H92" s="81">
        <f t="shared" si="17"/>
        <v>0.48152989169183968</v>
      </c>
      <c r="I92" s="42">
        <f t="shared" si="18"/>
        <v>3.160058393735877</v>
      </c>
      <c r="J92" s="87">
        <v>3.9</v>
      </c>
      <c r="K92" s="74"/>
      <c r="L92" s="56"/>
      <c r="M92" s="83">
        <f t="shared" si="22"/>
        <v>-96.816852585488377</v>
      </c>
      <c r="N92" s="10">
        <f t="shared" si="23"/>
        <v>-0.86443618379900333</v>
      </c>
      <c r="O92" s="10"/>
      <c r="P92" s="83"/>
      <c r="Q92" s="89">
        <v>112</v>
      </c>
      <c r="R92" s="89"/>
      <c r="S92" s="10">
        <v>4.0000000000000001E-3</v>
      </c>
      <c r="T92" s="10">
        <v>0.48</v>
      </c>
      <c r="U92" s="10">
        <v>0.77</v>
      </c>
      <c r="V92" s="5"/>
    </row>
    <row r="93" spans="1:22" x14ac:dyDescent="0.25">
      <c r="A93" s="82" t="s">
        <v>11</v>
      </c>
      <c r="B93" s="31">
        <v>112.5</v>
      </c>
      <c r="C93" s="10">
        <v>6.3E-3</v>
      </c>
      <c r="D93" s="5">
        <v>9.5269999999999992</v>
      </c>
      <c r="E93" s="16">
        <f t="shared" si="20"/>
        <v>10.808926540176055</v>
      </c>
      <c r="F93" s="16">
        <f t="shared" si="21"/>
        <v>0.96354939316255084</v>
      </c>
      <c r="G93" s="26">
        <f>(5.01*(B93^0.59)*Z$71)/(86.4*I$25)</f>
        <v>12.647580875076212</v>
      </c>
      <c r="H93" s="81">
        <f t="shared" si="17"/>
        <v>0.9619733305417808</v>
      </c>
      <c r="I93" s="42">
        <f t="shared" si="18"/>
        <v>3.3471038688625345</v>
      </c>
      <c r="J93" s="87">
        <v>3.9</v>
      </c>
      <c r="K93" s="74"/>
      <c r="L93" s="56"/>
      <c r="M93" s="83">
        <f>(B93-(1.48*P$83))</f>
        <v>-82.733705170976748</v>
      </c>
      <c r="N93" s="10">
        <f t="shared" si="23"/>
        <v>-0.67981680502035124</v>
      </c>
      <c r="O93" s="83"/>
      <c r="P93" s="83"/>
      <c r="Q93" s="89">
        <v>121.7</v>
      </c>
      <c r="R93" s="89"/>
      <c r="S93" s="10">
        <v>2.4599999999999999E-3</v>
      </c>
      <c r="T93" s="10">
        <v>0.4</v>
      </c>
      <c r="U93" s="10">
        <v>0.7</v>
      </c>
      <c r="V93" s="5"/>
    </row>
    <row r="94" spans="1:22" x14ac:dyDescent="0.25">
      <c r="A94" s="82" t="s">
        <v>12</v>
      </c>
      <c r="B94" s="12">
        <v>1985</v>
      </c>
      <c r="C94" s="12">
        <v>1985</v>
      </c>
      <c r="D94" s="87">
        <v>1985</v>
      </c>
      <c r="E94" s="87">
        <v>1985</v>
      </c>
      <c r="F94" s="87">
        <v>1985</v>
      </c>
      <c r="G94" s="87">
        <v>1985</v>
      </c>
      <c r="H94" s="87">
        <v>1985</v>
      </c>
      <c r="I94" s="87">
        <v>1985</v>
      </c>
      <c r="J94" s="47" t="s">
        <v>70</v>
      </c>
      <c r="K94" s="27"/>
      <c r="L94" s="27"/>
      <c r="M94" s="39" t="s">
        <v>60</v>
      </c>
      <c r="N94" s="39" t="s">
        <v>73</v>
      </c>
      <c r="O94" s="105" t="s">
        <v>57</v>
      </c>
      <c r="P94" s="105"/>
      <c r="Q94" s="10"/>
      <c r="R94" s="10"/>
      <c r="S94" s="12">
        <v>1985</v>
      </c>
      <c r="T94" s="12">
        <v>1985</v>
      </c>
      <c r="U94" s="12">
        <v>1985</v>
      </c>
      <c r="V94" s="5"/>
    </row>
    <row r="95" spans="1:22" x14ac:dyDescent="0.25">
      <c r="A95" s="82" t="s">
        <v>0</v>
      </c>
      <c r="B95" s="31">
        <v>74.8</v>
      </c>
      <c r="C95" s="10">
        <v>5.8999999999999999E-3</v>
      </c>
      <c r="D95" s="1">
        <v>9303</v>
      </c>
      <c r="E95" s="16">
        <f>C95*(($Z$71^F$24)*((0.7*B95+0.29*B93+0.01*B92)^(F$20)))</f>
        <v>10.577281358204086</v>
      </c>
      <c r="F95" s="16">
        <f>S95*(($Z$71^U$82)*(((0.7*B95)+(0.29*B93)+(0.01*B92))^(T$82)))</f>
        <v>2.4875278643147003</v>
      </c>
      <c r="G95" s="26">
        <f>(5.01*(B95^0.59)*Z$71)/(86.4*I$14)</f>
        <v>9.940985027395179</v>
      </c>
      <c r="H95" s="81">
        <f>(($K$30*(EXP(1))^($L$30*N95))/1000)*$Z$71</f>
        <v>26.078976633996195</v>
      </c>
      <c r="I95" s="42">
        <f>((L$32^(J95-(0.6458446*LN(P$36))-(9.53942*N95*(P$36/P$35))+(4.8904*N95)))/1000)*$Z$71</f>
        <v>9.7992758144949974</v>
      </c>
      <c r="J95" s="87">
        <v>4.7</v>
      </c>
      <c r="K95" s="56"/>
      <c r="L95" s="56"/>
      <c r="M95" s="83">
        <f t="shared" ref="M95:M106" si="24">(B95-(0.74*P$96))</f>
        <v>25.36867642451557</v>
      </c>
      <c r="N95" s="10">
        <f>M95/Q95</f>
        <v>0.20054289663648672</v>
      </c>
      <c r="O95" s="50" t="s">
        <v>58</v>
      </c>
      <c r="P95" s="82">
        <f>(B95+B96+B97+B98+B99+B100+B101+B102+B103+B104+B105+B106)/12</f>
        <v>52.683333333333337</v>
      </c>
      <c r="Q95" s="89">
        <v>126.5</v>
      </c>
      <c r="R95" s="89"/>
      <c r="S95" s="10">
        <v>3.0100000000000001E-3</v>
      </c>
      <c r="T95" s="10">
        <v>0.4</v>
      </c>
      <c r="U95" s="10">
        <v>0.7</v>
      </c>
      <c r="V95" s="5"/>
    </row>
    <row r="96" spans="1:22" x14ac:dyDescent="0.25">
      <c r="A96" s="82" t="s">
        <v>1</v>
      </c>
      <c r="B96" s="31">
        <v>107.2</v>
      </c>
      <c r="C96" s="10">
        <v>6.3E-3</v>
      </c>
      <c r="D96" s="1">
        <v>10766</v>
      </c>
      <c r="E96" s="16">
        <f>C96*(($Z$71^F$24)*((0.7*B96+0.29*B95+0.01*B93)^(F$20)))</f>
        <v>12.291017523380292</v>
      </c>
      <c r="F96" s="16">
        <f>S96*(($Z$71^U96)*(((0.7*B96)+(0.29*B95)+(0.01*B93))^(T96)))</f>
        <v>1.9721045351590381</v>
      </c>
      <c r="G96" s="26">
        <f>(5.01*(B96^0.59)*Z$71)/(86.4*J$15)</f>
        <v>13.14032468134261</v>
      </c>
      <c r="H96" s="81">
        <f t="shared" ref="H96:H106" si="25">(($K$30*(EXP(1))^($L$30*N96))/1000)*$Z$71</f>
        <v>81.363735162011707</v>
      </c>
      <c r="I96" s="42">
        <f>((L$32^(J96-(0.6458446*LN(P$36))-(9.53942*N96*(P$36/P$35))+(4.8904*N96)))/1000)*$Z$71</f>
        <v>10.770993677951434</v>
      </c>
      <c r="J96" s="87">
        <v>4.7</v>
      </c>
      <c r="K96" s="56"/>
      <c r="L96" s="56"/>
      <c r="M96" s="83">
        <f t="shared" si="24"/>
        <v>57.768676424515576</v>
      </c>
      <c r="N96" s="10">
        <f t="shared" ref="N96:N106" si="26">M96/Q96</f>
        <v>0.50408967211619182</v>
      </c>
      <c r="O96" s="50" t="s">
        <v>66</v>
      </c>
      <c r="P96" s="83">
        <f>((((B95-P95)^2+(B96-P95)^2+(B97-P95)^2+(B98-P95)^2+(B99-P95)^2+(B100-P95)^2+(B101-P95)^2+(B102-P95)^2+(B103-P95)^2+(B104-P95)^2+(B105-P95)^2+(B106-P95)^2))/(12-1))^0.5</f>
        <v>66.799085912816793</v>
      </c>
      <c r="Q96" s="89">
        <v>114.6</v>
      </c>
      <c r="R96" s="89"/>
      <c r="S96" s="10">
        <v>2.9719999999999998E-3</v>
      </c>
      <c r="T96" s="10">
        <v>0.47</v>
      </c>
      <c r="U96" s="10">
        <v>0.72</v>
      </c>
      <c r="V96" s="5"/>
    </row>
    <row r="97" spans="1:22" x14ac:dyDescent="0.25">
      <c r="A97" s="82" t="s">
        <v>2</v>
      </c>
      <c r="B97" s="31">
        <v>187.1</v>
      </c>
      <c r="C97" s="10">
        <v>6.7000000000000002E-3</v>
      </c>
      <c r="D97" s="1">
        <v>15313</v>
      </c>
      <c r="E97" s="16">
        <f t="shared" ref="E97:E106" si="27">C97*(($Z$71^F$24)*((0.7*B97+0.29*B96+0.01*B95)^(F$20)))</f>
        <v>17.740636455252499</v>
      </c>
      <c r="F97" s="16">
        <f t="shared" ref="F97:F106" si="28">S97*(($Z$71^U97)*(((0.7*B97)+(0.29*B96)+(0.01*B95))^(T97)))</f>
        <v>3.7681831133520163</v>
      </c>
      <c r="G97" s="26">
        <f>(5.01*(B97^0.59)*Z$71)/(86.4*I$16)</f>
        <v>17.074618602068529</v>
      </c>
      <c r="H97" s="81">
        <f t="shared" si="25"/>
        <v>643.36644182907764</v>
      </c>
      <c r="I97" s="42">
        <f t="shared" ref="I97:I106" si="29">((L$32^(J97-(0.6458446*LN(P$36))-(9.53942*N97*(P$36/P$35))+(4.8904*N97)))/1000)*$Z$71</f>
        <v>12.790265104714338</v>
      </c>
      <c r="J97" s="87">
        <v>4.7</v>
      </c>
      <c r="K97" s="56"/>
      <c r="L97" s="58"/>
      <c r="M97" s="83">
        <f t="shared" si="24"/>
        <v>137.66867642451558</v>
      </c>
      <c r="N97" s="10">
        <f t="shared" si="26"/>
        <v>1.0557413836235856</v>
      </c>
      <c r="O97" s="83"/>
      <c r="P97" s="83"/>
      <c r="Q97" s="89">
        <v>130.4</v>
      </c>
      <c r="R97" s="89"/>
      <c r="S97" s="10">
        <v>6.3850000000000001E-3</v>
      </c>
      <c r="T97" s="10">
        <v>0.4</v>
      </c>
      <c r="U97" s="10">
        <v>0.72</v>
      </c>
      <c r="V97" s="5"/>
    </row>
    <row r="98" spans="1:22" x14ac:dyDescent="0.25">
      <c r="A98" s="82" t="s">
        <v>3</v>
      </c>
      <c r="B98" s="31">
        <v>164</v>
      </c>
      <c r="C98" s="10">
        <v>6.6E-3</v>
      </c>
      <c r="D98" s="1">
        <v>15469</v>
      </c>
      <c r="E98" s="16">
        <f t="shared" si="27"/>
        <v>17.943458653241812</v>
      </c>
      <c r="F98" s="16">
        <f t="shared" si="28"/>
        <v>2.5465411200600174</v>
      </c>
      <c r="G98" s="26">
        <f>(5.01*(B98^0.59)*Z$71)/(86.4*I$17)</f>
        <v>16.323969941656916</v>
      </c>
      <c r="H98" s="81">
        <f t="shared" si="25"/>
        <v>352.28948899379043</v>
      </c>
      <c r="I98" s="42">
        <f t="shared" si="29"/>
        <v>12.165912544050789</v>
      </c>
      <c r="J98" s="87">
        <v>4.7</v>
      </c>
      <c r="K98" s="56"/>
      <c r="L98" s="56"/>
      <c r="M98" s="83">
        <f t="shared" si="24"/>
        <v>114.56867642451557</v>
      </c>
      <c r="N98" s="10">
        <f t="shared" si="26"/>
        <v>0.89506778456652791</v>
      </c>
      <c r="O98" s="83"/>
      <c r="P98" s="83"/>
      <c r="Q98" s="89">
        <v>128</v>
      </c>
      <c r="R98" s="89"/>
      <c r="S98" s="10">
        <v>5.8219999999999999E-3</v>
      </c>
      <c r="T98" s="10">
        <v>0.35</v>
      </c>
      <c r="U98" s="10">
        <v>0.71</v>
      </c>
      <c r="V98" s="5"/>
    </row>
    <row r="99" spans="1:22" x14ac:dyDescent="0.25">
      <c r="A99" s="82" t="s">
        <v>4</v>
      </c>
      <c r="B99" s="31">
        <v>44.9</v>
      </c>
      <c r="C99" s="10">
        <v>5.4999999999999997E-3</v>
      </c>
      <c r="D99" s="1">
        <v>8429</v>
      </c>
      <c r="E99" s="16">
        <f t="shared" si="27"/>
        <v>9.5696995777178753</v>
      </c>
      <c r="F99" s="16">
        <f t="shared" si="28"/>
        <v>1.9017190226766407</v>
      </c>
      <c r="G99" s="26">
        <f>(5.01*(B99^0.59)*Z$71)/(86.4*I$18)</f>
        <v>7.3561879710275715</v>
      </c>
      <c r="H99" s="81">
        <f t="shared" si="25"/>
        <v>10.718862815129823</v>
      </c>
      <c r="I99" s="42">
        <f t="shared" si="29"/>
        <v>9.1013662157099482</v>
      </c>
      <c r="J99" s="87">
        <v>4.7</v>
      </c>
      <c r="K99" s="56"/>
      <c r="L99" s="56"/>
      <c r="M99" s="83">
        <f t="shared" si="24"/>
        <v>-4.5313235754844285</v>
      </c>
      <c r="N99" s="10">
        <f t="shared" si="26"/>
        <v>-3.6661193976411238E-2</v>
      </c>
      <c r="O99" s="59"/>
      <c r="P99" s="59"/>
      <c r="Q99" s="89">
        <v>123.6</v>
      </c>
      <c r="R99" s="89"/>
      <c r="S99" s="10">
        <v>4.81E-3</v>
      </c>
      <c r="T99" s="10">
        <v>0.4</v>
      </c>
      <c r="U99" s="10">
        <v>0.7</v>
      </c>
      <c r="V99" s="5"/>
    </row>
    <row r="100" spans="1:22" x14ac:dyDescent="0.25">
      <c r="A100" s="82" t="s">
        <v>5</v>
      </c>
      <c r="B100" s="31">
        <v>23.9</v>
      </c>
      <c r="C100" s="10">
        <v>5.1000000000000004E-3</v>
      </c>
      <c r="D100" s="1">
        <v>4553</v>
      </c>
      <c r="E100" s="16">
        <f t="shared" si="27"/>
        <v>5.0297386184434378</v>
      </c>
      <c r="F100" s="16">
        <f t="shared" si="28"/>
        <v>1.1568017463102518</v>
      </c>
      <c r="G100" s="26">
        <f>(5.01*(B100^0.59)*Z$71)/(86.4*I$19)</f>
        <v>5.2398961243533222</v>
      </c>
      <c r="H100" s="81">
        <f t="shared" si="25"/>
        <v>5.1317564317002704</v>
      </c>
      <c r="I100" s="42">
        <f t="shared" si="29"/>
        <v>3.8467111582333215</v>
      </c>
      <c r="J100" s="87">
        <v>3.9</v>
      </c>
      <c r="K100" s="56"/>
      <c r="L100" s="56"/>
      <c r="M100" s="83">
        <f t="shared" si="24"/>
        <v>-25.531323575484429</v>
      </c>
      <c r="N100" s="10">
        <f t="shared" si="26"/>
        <v>-0.23316277237885322</v>
      </c>
      <c r="O100" s="59"/>
      <c r="P100" s="59"/>
      <c r="Q100" s="89">
        <v>109.5</v>
      </c>
      <c r="R100" s="89"/>
      <c r="S100" s="10">
        <v>4.2719999999999998E-3</v>
      </c>
      <c r="T100" s="10">
        <v>0.4</v>
      </c>
      <c r="U100" s="10">
        <v>0.7</v>
      </c>
      <c r="V100" s="5"/>
    </row>
    <row r="101" spans="1:22" x14ac:dyDescent="0.25">
      <c r="A101" s="82" t="s">
        <v>6</v>
      </c>
      <c r="B101" s="31">
        <v>0.5</v>
      </c>
      <c r="C101" s="10">
        <v>4.0000000000000001E-3</v>
      </c>
      <c r="D101" s="1">
        <v>1604</v>
      </c>
      <c r="E101" s="16">
        <f t="shared" si="27"/>
        <v>1.7016092494243495</v>
      </c>
      <c r="F101" s="16">
        <f t="shared" si="28"/>
        <v>0.80337647243492638</v>
      </c>
      <c r="G101" s="26">
        <f>(5.01*(B101^0.59)*Z$71)/(86.4*I$20)</f>
        <v>0.5178688388766739</v>
      </c>
      <c r="H101" s="81">
        <f t="shared" si="25"/>
        <v>2.1617615508209171</v>
      </c>
      <c r="I101" s="42">
        <f t="shared" si="29"/>
        <v>0.79881873275516146</v>
      </c>
      <c r="J101" s="87">
        <v>2.4</v>
      </c>
      <c r="K101" s="56"/>
      <c r="L101" s="56"/>
      <c r="M101" s="83">
        <f t="shared" si="24"/>
        <v>-48.931323575484427</v>
      </c>
      <c r="N101" s="10">
        <f t="shared" si="26"/>
        <v>-0.46380401493350165</v>
      </c>
      <c r="O101" s="59"/>
      <c r="P101" s="59"/>
      <c r="Q101" s="89">
        <v>105.5</v>
      </c>
      <c r="R101" s="89"/>
      <c r="S101" s="10">
        <v>4.0000000000000001E-3</v>
      </c>
      <c r="T101" s="10">
        <v>0.46899999999999997</v>
      </c>
      <c r="U101" s="10">
        <v>0.72</v>
      </c>
      <c r="V101" s="5"/>
    </row>
    <row r="102" spans="1:22" x14ac:dyDescent="0.25">
      <c r="A102" s="82" t="s">
        <v>7</v>
      </c>
      <c r="B102" s="31">
        <v>0.2</v>
      </c>
      <c r="C102" s="10">
        <v>4.0000000000000001E-3</v>
      </c>
      <c r="D102" s="10">
        <v>0.34499999999999997</v>
      </c>
      <c r="E102" s="16">
        <f t="shared" si="27"/>
        <v>0.33849395203544952</v>
      </c>
      <c r="F102" s="16">
        <f t="shared" si="28"/>
        <v>0.80264914336871884</v>
      </c>
      <c r="G102" s="26">
        <f>(5.01*(B102^0.59)*Z$71)/(86.4*I$21)</f>
        <v>0.30160266478526815</v>
      </c>
      <c r="H102" s="81">
        <f t="shared" si="25"/>
        <v>2.0962290560159396</v>
      </c>
      <c r="I102" s="42">
        <f t="shared" si="29"/>
        <v>0.21714732339460535</v>
      </c>
      <c r="J102" s="87">
        <v>1.1000000000000001</v>
      </c>
      <c r="K102" s="56"/>
      <c r="L102" s="56"/>
      <c r="M102" s="83">
        <f t="shared" si="24"/>
        <v>-49.231323575484424</v>
      </c>
      <c r="N102" s="10">
        <f t="shared" si="26"/>
        <v>-0.47201652517242976</v>
      </c>
      <c r="O102" s="60"/>
      <c r="P102" s="59"/>
      <c r="Q102" s="89">
        <v>104.3</v>
      </c>
      <c r="R102" s="89"/>
      <c r="S102" s="10">
        <v>6.5620000000000001E-3</v>
      </c>
      <c r="T102" s="10">
        <v>0.59</v>
      </c>
      <c r="U102" s="10">
        <v>0.86</v>
      </c>
      <c r="V102" s="5"/>
    </row>
    <row r="103" spans="1:22" x14ac:dyDescent="0.25">
      <c r="A103" s="82" t="s">
        <v>8</v>
      </c>
      <c r="B103" s="31">
        <v>0.7</v>
      </c>
      <c r="C103" s="10">
        <v>4.0000000000000001E-3</v>
      </c>
      <c r="D103" s="10">
        <v>0.35599999999999998</v>
      </c>
      <c r="E103" s="16">
        <f t="shared" si="27"/>
        <v>0.34961271580423181</v>
      </c>
      <c r="F103" s="16">
        <f t="shared" si="28"/>
        <v>0.80254899994320161</v>
      </c>
      <c r="G103" s="26">
        <f>(5.01*(B103^0.59)*Z$71)/(86.4*I$22)</f>
        <v>0.65264311326710489</v>
      </c>
      <c r="H103" s="81">
        <f t="shared" si="25"/>
        <v>2.0335783886467529</v>
      </c>
      <c r="I103" s="42">
        <f t="shared" si="29"/>
        <v>0.21660049147733887</v>
      </c>
      <c r="J103" s="87">
        <v>1.1000000000000001</v>
      </c>
      <c r="K103" s="56"/>
      <c r="L103" s="56"/>
      <c r="M103" s="83">
        <f t="shared" si="24"/>
        <v>-48.731323575484424</v>
      </c>
      <c r="N103" s="10">
        <f t="shared" si="26"/>
        <v>-0.48011156232004359</v>
      </c>
      <c r="O103" s="59"/>
      <c r="P103" s="59"/>
      <c r="Q103" s="89">
        <v>101.5</v>
      </c>
      <c r="R103" s="89"/>
      <c r="S103" s="10">
        <v>6.5700000000000003E-3</v>
      </c>
      <c r="T103" s="10">
        <v>0.59499999999999997</v>
      </c>
      <c r="U103" s="10">
        <v>0.85499999999999998</v>
      </c>
      <c r="V103" s="5"/>
    </row>
    <row r="104" spans="1:22" ht="18.75" x14ac:dyDescent="0.3">
      <c r="A104" s="82" t="s">
        <v>9</v>
      </c>
      <c r="B104" s="31">
        <v>0.4</v>
      </c>
      <c r="C104" s="10">
        <v>4.0000000000000001E-3</v>
      </c>
      <c r="D104" s="10">
        <v>0.33</v>
      </c>
      <c r="E104" s="16">
        <f t="shared" si="27"/>
        <v>0.32314480944411306</v>
      </c>
      <c r="F104" s="16">
        <f t="shared" si="28"/>
        <v>0.80338695247369118</v>
      </c>
      <c r="G104" s="26">
        <f>(5.01*(B104^0.59)*Z$71)/(86.4*I$23)</f>
        <v>0.45398643017853541</v>
      </c>
      <c r="H104" s="81">
        <f t="shared" si="25"/>
        <v>2.2603911279735698</v>
      </c>
      <c r="I104" s="42">
        <f>((L$32^(J104-(0.6458446*LN(P$36))-(9.53942*N104*(P$36/P$35))+(4.8904*N104)))/1000)*$Z$71</f>
        <v>0.80178572600952547</v>
      </c>
      <c r="J104" s="87">
        <v>2.4</v>
      </c>
      <c r="K104" s="56"/>
      <c r="L104" s="56"/>
      <c r="M104" s="83">
        <f t="shared" si="24"/>
        <v>-49.031323575484429</v>
      </c>
      <c r="N104" s="10">
        <f t="shared" si="26"/>
        <v>-0.45190159977405003</v>
      </c>
      <c r="O104" s="61"/>
      <c r="P104" s="62"/>
      <c r="Q104" s="89">
        <v>108.5</v>
      </c>
      <c r="R104" s="89"/>
      <c r="S104" s="10">
        <v>6.535E-3</v>
      </c>
      <c r="T104" s="10">
        <v>0.59499999999999997</v>
      </c>
      <c r="U104" s="10">
        <v>0.86899999999999999</v>
      </c>
      <c r="V104" s="5"/>
    </row>
    <row r="105" spans="1:22" x14ac:dyDescent="0.25">
      <c r="A105" s="82" t="s">
        <v>10</v>
      </c>
      <c r="B105" s="31">
        <v>0</v>
      </c>
      <c r="C105" s="10">
        <v>8.2000000000000007E-3</v>
      </c>
      <c r="D105" s="10">
        <v>0.309</v>
      </c>
      <c r="E105" s="16">
        <f t="shared" si="27"/>
        <v>0.2908366068581994</v>
      </c>
      <c r="F105" s="16">
        <f t="shared" si="28"/>
        <v>0.80266972840625739</v>
      </c>
      <c r="G105" s="26">
        <f>(5.01*(B105^0.59)*Z$71)/(86.4*I$24)</f>
        <v>0</v>
      </c>
      <c r="H105" s="81">
        <f t="shared" si="25"/>
        <v>2.3515738752841266</v>
      </c>
      <c r="I105" s="42">
        <f t="shared" si="29"/>
        <v>3.605182416327537</v>
      </c>
      <c r="J105" s="87">
        <v>3.9</v>
      </c>
      <c r="K105" s="56"/>
      <c r="L105" s="56"/>
      <c r="M105" s="83">
        <f t="shared" si="24"/>
        <v>-49.431323575484427</v>
      </c>
      <c r="N105" s="10">
        <f t="shared" si="26"/>
        <v>-0.44135110335253952</v>
      </c>
      <c r="O105" s="62"/>
      <c r="P105" s="59"/>
      <c r="Q105" s="89">
        <v>112</v>
      </c>
      <c r="R105" s="89"/>
      <c r="S105" s="10">
        <v>1.477E-2</v>
      </c>
      <c r="T105" s="10">
        <v>0.59499999999999997</v>
      </c>
      <c r="U105" s="10">
        <v>0.86899999999999999</v>
      </c>
      <c r="V105" s="5"/>
    </row>
    <row r="106" spans="1:22" x14ac:dyDescent="0.25">
      <c r="A106" s="82" t="s">
        <v>11</v>
      </c>
      <c r="B106" s="31">
        <v>28.5</v>
      </c>
      <c r="C106" s="10">
        <v>5.1000000000000004E-3</v>
      </c>
      <c r="D106" s="1">
        <v>3515</v>
      </c>
      <c r="E106" s="16">
        <f t="shared" si="27"/>
        <v>3.8324836145367192</v>
      </c>
      <c r="F106" s="16">
        <f t="shared" si="28"/>
        <v>1.1190055788452693</v>
      </c>
      <c r="G106" s="26">
        <f>(5.01*(B106^0.59)*Z$71)/(86.4*I$25)</f>
        <v>5.6258214469159391</v>
      </c>
      <c r="H106" s="81">
        <f t="shared" si="25"/>
        <v>6.4542623299420789</v>
      </c>
      <c r="I106" s="42">
        <f t="shared" si="29"/>
        <v>3.9207077112288089</v>
      </c>
      <c r="J106" s="87">
        <v>3.9</v>
      </c>
      <c r="K106" s="56"/>
      <c r="L106" s="56"/>
      <c r="M106" s="83">
        <f t="shared" si="24"/>
        <v>-20.931323575484427</v>
      </c>
      <c r="N106" s="10">
        <f t="shared" si="26"/>
        <v>-0.17199115509847515</v>
      </c>
      <c r="O106" s="83"/>
      <c r="P106" s="83"/>
      <c r="Q106" s="89">
        <v>121.7</v>
      </c>
      <c r="R106" s="89"/>
      <c r="S106" s="10">
        <v>4.0159999999999996E-3</v>
      </c>
      <c r="T106" s="10">
        <v>0.45800000000000002</v>
      </c>
      <c r="U106" s="10">
        <v>0.70599999999999996</v>
      </c>
      <c r="V106" s="5"/>
    </row>
    <row r="107" spans="1:22" x14ac:dyDescent="0.25">
      <c r="A107" s="82" t="s">
        <v>12</v>
      </c>
      <c r="B107" s="12">
        <v>1986</v>
      </c>
      <c r="C107" s="12">
        <v>1986</v>
      </c>
      <c r="D107" s="87">
        <v>1986</v>
      </c>
      <c r="E107" s="87">
        <v>1986</v>
      </c>
      <c r="F107" s="87">
        <v>1986</v>
      </c>
      <c r="G107" s="87">
        <v>1986</v>
      </c>
      <c r="H107" s="87">
        <v>1986</v>
      </c>
      <c r="I107" s="87">
        <v>1986</v>
      </c>
      <c r="J107" s="47" t="s">
        <v>70</v>
      </c>
      <c r="K107" s="27"/>
      <c r="L107" s="27"/>
      <c r="M107" s="39" t="s">
        <v>60</v>
      </c>
      <c r="N107" s="39" t="s">
        <v>73</v>
      </c>
      <c r="O107" s="105" t="s">
        <v>57</v>
      </c>
      <c r="P107" s="105"/>
      <c r="Q107" s="10"/>
      <c r="R107" s="10"/>
      <c r="S107" s="12">
        <v>1986</v>
      </c>
      <c r="T107" s="12">
        <v>1986</v>
      </c>
      <c r="U107" s="12">
        <v>1986</v>
      </c>
      <c r="V107" s="5"/>
    </row>
    <row r="108" spans="1:22" x14ac:dyDescent="0.25">
      <c r="A108" s="82" t="s">
        <v>0</v>
      </c>
      <c r="B108" s="31">
        <v>361.1</v>
      </c>
      <c r="C108" s="10">
        <v>7.3000000000000001E-3</v>
      </c>
      <c r="D108" s="1">
        <v>21848</v>
      </c>
      <c r="E108" s="16">
        <f>C108*(($Z$71^F$24)*((0.7*B108+0.29*B106+0.01*B105)^(F$20)))</f>
        <v>25.658676739395595</v>
      </c>
      <c r="F108" s="16">
        <f>S108*(($Z$71^U$82)*(((0.7*B108)+(0.29*B106)+(0.01*B105))^(T$82)))</f>
        <v>7.8214627603683882</v>
      </c>
      <c r="G108" s="26">
        <f>(5.01*(B108^0.59)*Z$71)/(86.4*I$14)</f>
        <v>25.166782459874092</v>
      </c>
      <c r="H108" s="81">
        <f>(($K$30*(EXP(1))^($L$30*N108))/1000)*$Z$71</f>
        <v>56010.901743918228</v>
      </c>
      <c r="I108" s="42">
        <f>((L$32^(J108-(0.6458446*LN(P$36))-(9.53942*N108*(P$36/P$35))+(4.8904*N108)))/1000)*$Z$71</f>
        <v>18.538436698401426</v>
      </c>
      <c r="J108" s="87">
        <v>4.7</v>
      </c>
      <c r="K108" s="56"/>
      <c r="L108" s="56"/>
      <c r="M108" s="83">
        <f t="shared" ref="M108:M119" si="30">(B108-(0.74*P$109))</f>
        <v>284.29040367660019</v>
      </c>
      <c r="N108" s="10">
        <f>M108/Q108</f>
        <v>2.2473549697754955</v>
      </c>
      <c r="O108" s="50" t="s">
        <v>58</v>
      </c>
      <c r="P108" s="83">
        <f>(B108+B109+B110+B111+B112+B113+B114+B115+B116+B117+B118+B119)/12</f>
        <v>62.274999999999999</v>
      </c>
      <c r="Q108" s="89">
        <v>126.5</v>
      </c>
      <c r="R108" s="89"/>
      <c r="S108" s="10">
        <v>5.5230000000000001E-3</v>
      </c>
      <c r="T108" s="10">
        <v>0.4</v>
      </c>
      <c r="U108" s="10">
        <v>0.7</v>
      </c>
      <c r="V108" s="5"/>
    </row>
    <row r="109" spans="1:22" x14ac:dyDescent="0.25">
      <c r="A109" s="82" t="s">
        <v>1</v>
      </c>
      <c r="B109" s="31">
        <v>102.9</v>
      </c>
      <c r="C109" s="10">
        <v>6.3E-3</v>
      </c>
      <c r="D109" s="1">
        <v>15105</v>
      </c>
      <c r="E109" s="16">
        <f>C109*(($Z$71^F$24)*((0.7*B109+0.29*B108+0.01*B106)^(F$20)))</f>
        <v>17.541499227134334</v>
      </c>
      <c r="F109" s="16">
        <f>S109*(($Z$71^U109)*(((0.7*B109)+(0.29*B108)+(0.01*B106))^(T109)))</f>
        <v>2.1983230125640585</v>
      </c>
      <c r="G109" s="26">
        <f>(5.01*(B109^0.59)*Z$71)/(86.4*J$15)</f>
        <v>12.826738593537462</v>
      </c>
      <c r="H109" s="81">
        <f t="shared" ref="H109:H119" si="31">(($K$30*(EXP(1))^($L$30*N109))/1000)*$Z$71</f>
        <v>28.869697426319238</v>
      </c>
      <c r="I109" s="42">
        <f t="shared" ref="I109:I119" si="32">((L$32^(J109-(0.6458446*LN(P$36))-(9.53942*N109*(P$36/P$35))+(4.8904*N109)))/1000)*$Z$71</f>
        <v>9.8824101207388519</v>
      </c>
      <c r="J109" s="87">
        <v>4.7</v>
      </c>
      <c r="K109" s="56"/>
      <c r="L109" s="56"/>
      <c r="M109" s="83">
        <f t="shared" si="30"/>
        <v>26.090403676600175</v>
      </c>
      <c r="N109" s="10">
        <f t="shared" ref="N109:N119" si="33">M109/Q109</f>
        <v>0.22766495354799457</v>
      </c>
      <c r="O109" s="50" t="s">
        <v>66</v>
      </c>
      <c r="P109" s="83">
        <f>((((B108-P108)^2+(B109-P108)^2+(B110-P108)^2+(B111-P108)^2+(B112-P108)^2+(B113-P108)^2+(B114-P108)^2+(B115-P108)^2+(B116-P108)^2+(B117-P108)^2+(B118-P108)^2+(B119-P108)^2))/(12-1))^0.5</f>
        <v>103.79675178837816</v>
      </c>
      <c r="Q109" s="89">
        <v>114.6</v>
      </c>
      <c r="R109" s="89"/>
      <c r="S109" s="10">
        <v>4.28E-3</v>
      </c>
      <c r="T109" s="10">
        <v>0.39</v>
      </c>
      <c r="U109" s="10">
        <v>0.7</v>
      </c>
      <c r="V109" s="5"/>
    </row>
    <row r="110" spans="1:22" x14ac:dyDescent="0.25">
      <c r="A110" s="82" t="s">
        <v>2</v>
      </c>
      <c r="B110" s="31">
        <v>84.5</v>
      </c>
      <c r="C110" s="10">
        <v>6.0000000000000001E-3</v>
      </c>
      <c r="D110" s="1">
        <v>9936</v>
      </c>
      <c r="E110" s="16">
        <f t="shared" ref="E110:E119" si="34">C110*(($Z$71^F$24)*((0.7*B110+0.29*B109+0.01*B108)^(F$20)))</f>
        <v>11.32441092964836</v>
      </c>
      <c r="F110" s="16">
        <f t="shared" ref="F110:F119" si="35">S110*(($Z$71^U110)*(((0.7*B110)+(0.29*B109)+(0.01*B108))^(T110)))</f>
        <v>1.5306862079215706</v>
      </c>
      <c r="G110" s="26">
        <f>(5.01*(B110^0.59)*Z$71)/(86.4*I$16)</f>
        <v>10.682500829836647</v>
      </c>
      <c r="H110" s="81">
        <f t="shared" si="31"/>
        <v>15.340325560410463</v>
      </c>
      <c r="I110" s="42">
        <f t="shared" si="32"/>
        <v>9.376563175063767</v>
      </c>
      <c r="J110" s="87">
        <v>4.7</v>
      </c>
      <c r="K110" s="56"/>
      <c r="L110" s="58"/>
      <c r="M110" s="83">
        <f t="shared" si="30"/>
        <v>7.6904036766001695</v>
      </c>
      <c r="N110" s="10">
        <f t="shared" si="33"/>
        <v>5.8975488317485961E-2</v>
      </c>
      <c r="O110" s="83"/>
      <c r="P110" s="83"/>
      <c r="Q110" s="89">
        <v>130.4</v>
      </c>
      <c r="R110" s="89"/>
      <c r="S110" s="10">
        <v>4.5989999999999998E-3</v>
      </c>
      <c r="T110" s="10">
        <v>0.35</v>
      </c>
      <c r="U110" s="10">
        <v>0.7</v>
      </c>
      <c r="V110" s="5"/>
    </row>
    <row r="111" spans="1:22" x14ac:dyDescent="0.25">
      <c r="A111" s="82" t="s">
        <v>3</v>
      </c>
      <c r="B111" s="31">
        <v>125.7</v>
      </c>
      <c r="C111" s="10">
        <v>6.3E-3</v>
      </c>
      <c r="D111" s="1">
        <v>11719</v>
      </c>
      <c r="E111" s="16">
        <f t="shared" si="34"/>
        <v>13.43647382307141</v>
      </c>
      <c r="F111" s="16">
        <f t="shared" si="35"/>
        <v>3.2260989088095293</v>
      </c>
      <c r="G111" s="26">
        <f>(5.01*(B111^0.59)*Z$71)/(86.4*I$17)</f>
        <v>13.953261384811432</v>
      </c>
      <c r="H111" s="81">
        <f t="shared" si="31"/>
        <v>51.476773727956726</v>
      </c>
      <c r="I111" s="42">
        <f>((L$32^(J111-(0.6458446*LN(P$36))-(9.53942*N111*(P$36/P$35))+(4.8904*N111)))/1000)*$Z$71</f>
        <v>10.368940387554742</v>
      </c>
      <c r="J111" s="87">
        <v>4.7</v>
      </c>
      <c r="K111" s="56"/>
      <c r="L111" s="56"/>
      <c r="M111" s="83">
        <f t="shared" si="30"/>
        <v>48.890403676600172</v>
      </c>
      <c r="N111" s="10">
        <f t="shared" si="33"/>
        <v>0.38195627872343885</v>
      </c>
      <c r="O111" s="83"/>
      <c r="P111" s="83"/>
      <c r="Q111" s="89">
        <v>128</v>
      </c>
      <c r="R111" s="89"/>
      <c r="S111" s="10">
        <v>5.2940000000000001E-3</v>
      </c>
      <c r="T111" s="10">
        <v>0.45</v>
      </c>
      <c r="U111" s="10">
        <v>0.71</v>
      </c>
      <c r="V111" s="5"/>
    </row>
    <row r="112" spans="1:22" x14ac:dyDescent="0.25">
      <c r="A112" s="82" t="s">
        <v>4</v>
      </c>
      <c r="B112" s="31">
        <v>21.5</v>
      </c>
      <c r="C112" s="10">
        <v>4.8999999999999998E-3</v>
      </c>
      <c r="D112" s="1">
        <v>5858</v>
      </c>
      <c r="E112" s="16">
        <f t="shared" si="34"/>
        <v>6.5679265321678013</v>
      </c>
      <c r="F112" s="16">
        <f t="shared" si="35"/>
        <v>1.6738966925474246</v>
      </c>
      <c r="G112" s="26">
        <f>(5.01*(B112^0.59)*Z$71)/(86.4*I$18)</f>
        <v>4.763938740972768</v>
      </c>
      <c r="H112" s="81">
        <f t="shared" si="31"/>
        <v>2.2980919177814241</v>
      </c>
      <c r="I112" s="42">
        <f t="shared" si="32"/>
        <v>8.0081570961989446</v>
      </c>
      <c r="J112" s="87">
        <v>4.7</v>
      </c>
      <c r="K112" s="56"/>
      <c r="L112" s="56"/>
      <c r="M112" s="83">
        <f t="shared" si="30"/>
        <v>-55.30959632339983</v>
      </c>
      <c r="N112" s="10">
        <f t="shared" si="33"/>
        <v>-0.44748864339320255</v>
      </c>
      <c r="O112" s="59"/>
      <c r="P112" s="59"/>
      <c r="Q112" s="89">
        <v>123.6</v>
      </c>
      <c r="R112" s="89"/>
      <c r="S112" s="10">
        <v>4.4739999999999997E-3</v>
      </c>
      <c r="T112" s="10">
        <v>0.43</v>
      </c>
      <c r="U112" s="10">
        <v>0.7</v>
      </c>
      <c r="V112" s="5"/>
    </row>
    <row r="113" spans="1:22" x14ac:dyDescent="0.25">
      <c r="A113" s="82" t="s">
        <v>5</v>
      </c>
      <c r="B113" s="31">
        <v>2.1</v>
      </c>
      <c r="C113" s="10">
        <v>4.0000000000000001E-3</v>
      </c>
      <c r="D113" s="1">
        <v>1745</v>
      </c>
      <c r="E113" s="16">
        <f t="shared" si="34"/>
        <v>1.8594953856318939</v>
      </c>
      <c r="F113" s="16">
        <f t="shared" si="35"/>
        <v>0.3245237076345322</v>
      </c>
      <c r="G113" s="26">
        <f>(5.01*(B113^0.59)*Z$71)/(86.4*I$19)</f>
        <v>1.2478928603169652</v>
      </c>
      <c r="H113" s="81">
        <f t="shared" si="31"/>
        <v>0.95313446026519544</v>
      </c>
      <c r="I113" s="42">
        <f t="shared" si="32"/>
        <v>3.3445374542394419</v>
      </c>
      <c r="J113" s="87">
        <v>3.9</v>
      </c>
      <c r="K113" s="56"/>
      <c r="L113" s="56"/>
      <c r="M113" s="83">
        <f t="shared" si="30"/>
        <v>-74.709596323399836</v>
      </c>
      <c r="N113" s="10">
        <f t="shared" si="33"/>
        <v>-0.68227941847853735</v>
      </c>
      <c r="O113" s="59"/>
      <c r="P113" s="59"/>
      <c r="Q113" s="89">
        <v>109.5</v>
      </c>
      <c r="R113" s="89"/>
      <c r="S113" s="10">
        <v>2.2079999999999999E-3</v>
      </c>
      <c r="T113" s="10">
        <v>0.35</v>
      </c>
      <c r="U113" s="10">
        <v>0.7</v>
      </c>
      <c r="V113" s="5"/>
    </row>
    <row r="114" spans="1:22" x14ac:dyDescent="0.25">
      <c r="A114" s="82" t="s">
        <v>6</v>
      </c>
      <c r="B114" s="31">
        <v>16.3</v>
      </c>
      <c r="C114" s="10">
        <v>4.7999999999999996E-3</v>
      </c>
      <c r="D114" s="1">
        <v>2502</v>
      </c>
      <c r="E114" s="16">
        <f t="shared" si="34"/>
        <v>2.6895181100954284</v>
      </c>
      <c r="F114" s="16">
        <f t="shared" si="35"/>
        <v>0.32357962868592044</v>
      </c>
      <c r="G114" s="26">
        <f>(5.01*(B114^0.59)*Z$71)/(86.4*I$20)</f>
        <v>4.045928126716019</v>
      </c>
      <c r="H114" s="81">
        <f t="shared" si="31"/>
        <v>1.4326907297537956</v>
      </c>
      <c r="I114" s="42">
        <f t="shared" si="32"/>
        <v>0.77197358875094335</v>
      </c>
      <c r="J114" s="87">
        <v>2.4</v>
      </c>
      <c r="K114" s="56"/>
      <c r="L114" s="56"/>
      <c r="M114" s="83">
        <f t="shared" si="30"/>
        <v>-60.509596323399833</v>
      </c>
      <c r="N114" s="10">
        <f t="shared" si="33"/>
        <v>-0.57355067605118326</v>
      </c>
      <c r="O114" s="59"/>
      <c r="P114" s="59"/>
      <c r="Q114" s="89">
        <v>105.5</v>
      </c>
      <c r="R114" s="89"/>
      <c r="S114" s="10">
        <v>1.7420000000000001E-3</v>
      </c>
      <c r="T114" s="10">
        <v>0.4</v>
      </c>
      <c r="U114" s="10">
        <v>0.7</v>
      </c>
      <c r="V114" s="5"/>
    </row>
    <row r="115" spans="1:22" x14ac:dyDescent="0.25">
      <c r="A115" s="82" t="s">
        <v>7</v>
      </c>
      <c r="B115" s="31">
        <v>3.8</v>
      </c>
      <c r="C115" s="10">
        <v>4.0000000000000001E-3</v>
      </c>
      <c r="D115" s="1">
        <v>1565</v>
      </c>
      <c r="E115" s="16">
        <f t="shared" si="34"/>
        <v>1.6587186412850481</v>
      </c>
      <c r="F115" s="16">
        <f t="shared" si="35"/>
        <v>0.32441310946941937</v>
      </c>
      <c r="G115" s="26">
        <f>(5.01*(B115^0.59)*Z$71)/(86.4*I$21)</f>
        <v>1.7135619064175267</v>
      </c>
      <c r="H115" s="81">
        <f t="shared" si="31"/>
        <v>0.8918941998263783</v>
      </c>
      <c r="I115" s="42">
        <f t="shared" si="32"/>
        <v>0.20226228796310994</v>
      </c>
      <c r="J115" s="87">
        <v>1.1000000000000001</v>
      </c>
      <c r="K115" s="56"/>
      <c r="L115" s="56"/>
      <c r="M115" s="83">
        <f t="shared" si="30"/>
        <v>-73.009596323399833</v>
      </c>
      <c r="N115" s="10">
        <f t="shared" si="33"/>
        <v>-0.6999961296586753</v>
      </c>
      <c r="O115" s="60"/>
      <c r="P115" s="59"/>
      <c r="Q115" s="89">
        <v>104.3</v>
      </c>
      <c r="R115" s="89"/>
      <c r="S115" s="10">
        <v>3.1900000000000001E-3</v>
      </c>
      <c r="T115" s="10">
        <v>0.35</v>
      </c>
      <c r="U115" s="10">
        <v>0.65</v>
      </c>
      <c r="V115" s="5"/>
    </row>
    <row r="116" spans="1:22" x14ac:dyDescent="0.25">
      <c r="A116" s="82" t="s">
        <v>8</v>
      </c>
      <c r="B116" s="31">
        <v>0.5</v>
      </c>
      <c r="C116" s="10">
        <v>4.0000000000000001E-3</v>
      </c>
      <c r="D116" s="10">
        <v>0.65600000000000003</v>
      </c>
      <c r="E116" s="16">
        <f t="shared" si="34"/>
        <v>0.66505208176870612</v>
      </c>
      <c r="F116" s="16">
        <f t="shared" si="35"/>
        <v>0.42988349527284941</v>
      </c>
      <c r="G116" s="26">
        <f>(5.01*(B116^0.59)*Z$71)/(86.4*I$22)</f>
        <v>0.53513113350589636</v>
      </c>
      <c r="H116" s="81">
        <f t="shared" si="31"/>
        <v>0.73443268502118741</v>
      </c>
      <c r="I116" s="42">
        <f t="shared" si="32"/>
        <v>0.19902365846261097</v>
      </c>
      <c r="J116" s="87">
        <v>1.1000000000000001</v>
      </c>
      <c r="K116" s="56"/>
      <c r="L116" s="56"/>
      <c r="M116" s="83">
        <f t="shared" si="30"/>
        <v>-76.30959632339983</v>
      </c>
      <c r="N116" s="10">
        <f t="shared" si="33"/>
        <v>-0.75181868298916088</v>
      </c>
      <c r="O116" s="59"/>
      <c r="P116" s="59"/>
      <c r="Q116" s="89">
        <v>101.5</v>
      </c>
      <c r="R116" s="89"/>
      <c r="S116" s="10">
        <v>3.9899999999999996E-3</v>
      </c>
      <c r="T116" s="10">
        <v>0.45</v>
      </c>
      <c r="U116" s="10">
        <v>0.74</v>
      </c>
      <c r="V116" s="5"/>
    </row>
    <row r="117" spans="1:22" ht="18.75" x14ac:dyDescent="0.3">
      <c r="A117" s="82" t="s">
        <v>9</v>
      </c>
      <c r="B117" s="31">
        <v>13.6</v>
      </c>
      <c r="C117" s="10">
        <v>4.5999999999999999E-3</v>
      </c>
      <c r="D117" s="10">
        <v>2.1</v>
      </c>
      <c r="E117" s="16">
        <f t="shared" si="34"/>
        <v>2.2428157664573791</v>
      </c>
      <c r="F117" s="16">
        <f t="shared" si="35"/>
        <v>0.40294428525435794</v>
      </c>
      <c r="G117" s="26">
        <f>(5.01*(B117^0.59)*Z$71)/(86.4*I$23)</f>
        <v>3.6359293253777425</v>
      </c>
      <c r="H117" s="81">
        <f t="shared" si="31"/>
        <v>1.3850285435309813</v>
      </c>
      <c r="I117" s="42">
        <f>((L$32^(J117-(0.6458446*LN(P$36))-(9.53942*N117*(P$36/P$35))+(4.8904*N117)))/1000)*$Z$71</f>
        <v>0.76980624745969894</v>
      </c>
      <c r="J117" s="87">
        <v>2.4</v>
      </c>
      <c r="K117" s="56"/>
      <c r="L117" s="56"/>
      <c r="M117" s="83">
        <f t="shared" si="30"/>
        <v>-63.209596323399829</v>
      </c>
      <c r="N117" s="10">
        <f t="shared" si="33"/>
        <v>-0.58257692463962973</v>
      </c>
      <c r="O117" s="61"/>
      <c r="P117" s="62"/>
      <c r="Q117" s="89">
        <v>108.5</v>
      </c>
      <c r="R117" s="89"/>
      <c r="S117" s="10">
        <v>2.3800000000000002E-3</v>
      </c>
      <c r="T117" s="10">
        <v>0.4</v>
      </c>
      <c r="U117" s="10">
        <v>0.7</v>
      </c>
      <c r="V117" s="5"/>
    </row>
    <row r="118" spans="1:22" x14ac:dyDescent="0.25">
      <c r="A118" s="82" t="s">
        <v>10</v>
      </c>
      <c r="B118" s="31">
        <v>1.4</v>
      </c>
      <c r="C118" s="10">
        <v>4.0000000000000001E-3</v>
      </c>
      <c r="D118" s="10">
        <v>1.24</v>
      </c>
      <c r="E118" s="16">
        <f t="shared" si="34"/>
        <v>1.2989948585641211</v>
      </c>
      <c r="F118" s="16">
        <f t="shared" si="35"/>
        <v>0.32427124943012647</v>
      </c>
      <c r="G118" s="26">
        <f>(5.01*(B118^0.59)*Z$71)/(86.4*I$24)</f>
        <v>0.9823889234655423</v>
      </c>
      <c r="H118" s="81">
        <f t="shared" si="31"/>
        <v>0.98576119500170412</v>
      </c>
      <c r="I118" s="42">
        <f t="shared" si="32"/>
        <v>3.3539049020122995</v>
      </c>
      <c r="J118" s="87">
        <v>3.9</v>
      </c>
      <c r="K118" s="56"/>
      <c r="L118" s="56"/>
      <c r="M118" s="83">
        <f t="shared" si="30"/>
        <v>-75.409596323399825</v>
      </c>
      <c r="N118" s="10">
        <f t="shared" si="33"/>
        <v>-0.67329996717321272</v>
      </c>
      <c r="O118" s="10"/>
      <c r="P118" s="83"/>
      <c r="Q118" s="89">
        <v>112</v>
      </c>
      <c r="R118" s="89"/>
      <c r="S118" s="10">
        <v>3.0200000000000001E-3</v>
      </c>
      <c r="T118" s="10">
        <v>0.36</v>
      </c>
      <c r="U118" s="10">
        <v>0.68</v>
      </c>
      <c r="V118" s="5"/>
    </row>
    <row r="119" spans="1:22" x14ac:dyDescent="0.25">
      <c r="A119" s="82" t="s">
        <v>11</v>
      </c>
      <c r="B119" s="31">
        <v>13.9</v>
      </c>
      <c r="C119" s="10">
        <v>4.4999999999999997E-3</v>
      </c>
      <c r="D119" s="1">
        <v>2123</v>
      </c>
      <c r="E119" s="16">
        <f t="shared" si="34"/>
        <v>2.2703753877548225</v>
      </c>
      <c r="F119" s="16">
        <f t="shared" si="35"/>
        <v>0.81895121346513611</v>
      </c>
      <c r="G119" s="26">
        <f>(5.01*(B119^0.59)*Z$71)/(86.4*I$25)</f>
        <v>3.6830380793281581</v>
      </c>
      <c r="H119" s="81">
        <f t="shared" si="31"/>
        <v>1.7714752920090031</v>
      </c>
      <c r="I119" s="42">
        <f t="shared" si="32"/>
        <v>3.5213103711774298</v>
      </c>
      <c r="J119" s="87">
        <v>3.9</v>
      </c>
      <c r="K119" s="56"/>
      <c r="L119" s="56"/>
      <c r="M119" s="83">
        <f t="shared" si="30"/>
        <v>-62.909596323399832</v>
      </c>
      <c r="N119" s="10">
        <f t="shared" si="33"/>
        <v>-0.51692355236976029</v>
      </c>
      <c r="O119" s="83"/>
      <c r="P119" s="83"/>
      <c r="Q119" s="89">
        <v>121.7</v>
      </c>
      <c r="R119" s="89"/>
      <c r="S119" s="10">
        <v>4.0000000000000001E-3</v>
      </c>
      <c r="T119" s="10">
        <v>0.42</v>
      </c>
      <c r="U119" s="10">
        <v>0.72</v>
      </c>
      <c r="V119" s="5"/>
    </row>
    <row r="120" spans="1:22" x14ac:dyDescent="0.25">
      <c r="A120" s="82" t="s">
        <v>12</v>
      </c>
      <c r="B120" s="12">
        <v>1987</v>
      </c>
      <c r="C120" s="12">
        <v>1987</v>
      </c>
      <c r="D120" s="87">
        <v>1987</v>
      </c>
      <c r="E120" s="87">
        <v>1987</v>
      </c>
      <c r="F120" s="87">
        <v>1987</v>
      </c>
      <c r="G120" s="87">
        <v>1987</v>
      </c>
      <c r="H120" s="87">
        <v>1987</v>
      </c>
      <c r="I120" s="87">
        <v>1987</v>
      </c>
      <c r="J120" s="47" t="s">
        <v>70</v>
      </c>
      <c r="K120" s="27"/>
      <c r="L120" s="27"/>
      <c r="M120" s="39" t="s">
        <v>60</v>
      </c>
      <c r="N120" s="39" t="s">
        <v>73</v>
      </c>
      <c r="O120" s="105" t="s">
        <v>57</v>
      </c>
      <c r="P120" s="105"/>
      <c r="Q120" s="10"/>
      <c r="R120" s="10"/>
      <c r="S120" s="12">
        <v>1987</v>
      </c>
      <c r="T120" s="12">
        <v>1987</v>
      </c>
      <c r="U120" s="12">
        <v>1987</v>
      </c>
      <c r="V120" s="5"/>
    </row>
    <row r="121" spans="1:22" x14ac:dyDescent="0.25">
      <c r="A121" s="82" t="s">
        <v>0</v>
      </c>
      <c r="B121" s="31">
        <v>184.4</v>
      </c>
      <c r="C121" s="10">
        <v>6.7000000000000002E-3</v>
      </c>
      <c r="D121" s="10">
        <v>13.65</v>
      </c>
      <c r="E121" s="16">
        <f>C121*(($Z$71^F$24)*((0.7*B121+0.29*B119+0.01*B118)^(F$20)))</f>
        <v>15.72254060767137</v>
      </c>
      <c r="F121" s="16">
        <f>S121*(($Z$71^U$82)*(((0.7*B121)+(0.29*B119)+(0.01*B118))^(T$82)))</f>
        <v>5.85709672967696</v>
      </c>
      <c r="G121" s="26">
        <f>(5.01*(B121^0.59)*Z$71)/(86.4*I$14)</f>
        <v>16.928809496509576</v>
      </c>
      <c r="H121" s="42">
        <f>L$32^(J121-(0.6458446*LN(P$36))-(9.53942*N121*(P$36/P$35))+(4.8904*N121))</f>
        <v>27.229093652782272</v>
      </c>
      <c r="I121" s="42">
        <f>((L$32^(J121-(0.6458446*LN(P$36))-(9.53942*N121*(P$36/P$35))+(4.8904*N121)))/1000)*$Z$71</f>
        <v>11.347452488860485</v>
      </c>
      <c r="J121" s="87">
        <v>4.7</v>
      </c>
      <c r="K121" s="56"/>
      <c r="L121" s="56"/>
      <c r="M121" s="83">
        <f t="shared" ref="M121:M132" si="36">(B121-(0.74*P$122))</f>
        <v>84.941426626230694</v>
      </c>
      <c r="N121" s="10">
        <f>M121/Q121</f>
        <v>0.67147372827059837</v>
      </c>
      <c r="O121" s="50" t="s">
        <v>58</v>
      </c>
      <c r="P121" s="83">
        <f>(B121+B122+B123+B124+B125+B126+B127+B128+B129+B130+B131+B132)/12</f>
        <v>107.02500000000002</v>
      </c>
      <c r="Q121" s="89">
        <v>126.5</v>
      </c>
      <c r="R121" s="89"/>
      <c r="S121" s="10">
        <v>5.7140000000000003E-3</v>
      </c>
      <c r="T121" s="10">
        <v>0.4</v>
      </c>
      <c r="U121" s="10">
        <v>0.7</v>
      </c>
      <c r="V121" s="5"/>
    </row>
    <row r="122" spans="1:22" x14ac:dyDescent="0.25">
      <c r="A122" s="82" t="s">
        <v>1</v>
      </c>
      <c r="B122" s="31">
        <v>402.6</v>
      </c>
      <c r="C122" s="10">
        <v>7.4999999999999997E-3</v>
      </c>
      <c r="D122" s="1">
        <v>25903</v>
      </c>
      <c r="E122" s="16">
        <f>C122*(($Z$71^F$24)*((0.7*B122+0.29*B121+0.01*B119)^(F$20)))</f>
        <v>30.642093879688808</v>
      </c>
      <c r="F122" s="16">
        <f>S122*(($Z$71^U122)*(((0.7*B122)+(0.29*B121)+(0.01*B119))^(T122)))</f>
        <v>5.680075408279178</v>
      </c>
      <c r="G122" s="26">
        <f>(5.01*(B122^0.59)*Z$71)/(86.4*J$15)</f>
        <v>28.68578225577556</v>
      </c>
      <c r="H122" s="42">
        <f>L$32^(J122-(0.6458446*LN(P$36))-(9.53942*N122*(P$36/P$35))+(4.8904*N122))</f>
        <v>50.3532526243253</v>
      </c>
      <c r="I122" s="42">
        <f t="shared" ref="I122:I132" si="37">((L$32^(J122-(0.6458446*LN(P$36))-(9.53942*N122*(P$36/P$35))+(4.8904*N122)))/1000)*$Z$71</f>
        <v>20.984214498661327</v>
      </c>
      <c r="J122" s="87">
        <v>4.7</v>
      </c>
      <c r="K122" s="56"/>
      <c r="L122" s="56"/>
      <c r="M122" s="83">
        <f t="shared" si="36"/>
        <v>303.14142662623073</v>
      </c>
      <c r="N122" s="10">
        <f t="shared" ref="N122:N132" si="38">M122/Q122</f>
        <v>2.645213146825748</v>
      </c>
      <c r="O122" s="50" t="s">
        <v>66</v>
      </c>
      <c r="P122" s="83">
        <f>((((B121-P121)^2+(B122-P121)^2+(B123-P121)^2+(B124-P121)^2+(B125-P121)^2+(B126-P121)^2+(B127-P121)^2+(B128-P121)^2+(B129-P121)^2+(B130-P121)^2+(B131-P121)^2+(B132-P121)^2))/(12-1))^0.5</f>
        <v>134.40347753212069</v>
      </c>
      <c r="Q122" s="89">
        <v>114.6</v>
      </c>
      <c r="R122" s="89"/>
      <c r="S122" s="10">
        <v>6.9909999999999998E-3</v>
      </c>
      <c r="T122" s="10">
        <v>0.42599999999999999</v>
      </c>
      <c r="U122" s="10">
        <v>0.7</v>
      </c>
      <c r="V122" s="5"/>
    </row>
    <row r="123" spans="1:22" x14ac:dyDescent="0.25">
      <c r="A123" s="82" t="s">
        <v>2</v>
      </c>
      <c r="B123" s="31">
        <v>231.3</v>
      </c>
      <c r="C123" s="10">
        <v>6.8999999999999999E-3</v>
      </c>
      <c r="D123" s="1">
        <v>21517</v>
      </c>
      <c r="E123" s="16">
        <f t="shared" ref="E123:E132" si="39">C123*(($Z$71^F$24)*((0.7*B123+0.29*B122+0.01*B121)^(F$20)))</f>
        <v>25.322605645411834</v>
      </c>
      <c r="F123" s="16">
        <f t="shared" ref="F123:F132" si="40">S123*(($Z$71^U123)*(((0.7*B123)+(0.29*B122)+(0.01*B121))^(T123)))</f>
        <v>10.416580366230722</v>
      </c>
      <c r="G123" s="26">
        <f>(5.01*(B123^0.59)*Z$71)/(86.4*I$16)</f>
        <v>19.350451388867015</v>
      </c>
      <c r="H123" s="42">
        <f>L$32^(J123-(0.6458446*LN(P$36))-(9.53942*N123*(P$36/P$35))+(4.8904*N123))</f>
        <v>30.266996825072436</v>
      </c>
      <c r="I123" s="42">
        <f t="shared" si="37"/>
        <v>12.613468256880687</v>
      </c>
      <c r="J123" s="87">
        <v>4.7</v>
      </c>
      <c r="K123" s="56"/>
      <c r="L123" s="58"/>
      <c r="M123" s="83">
        <f t="shared" si="36"/>
        <v>131.84142662623071</v>
      </c>
      <c r="N123" s="10">
        <f t="shared" si="38"/>
        <v>1.0110538851704809</v>
      </c>
      <c r="O123" s="83"/>
      <c r="P123" s="83"/>
      <c r="Q123" s="89">
        <v>130.4</v>
      </c>
      <c r="R123" s="89"/>
      <c r="S123" s="10">
        <v>7.1339999999999997E-3</v>
      </c>
      <c r="T123" s="10">
        <v>0.49</v>
      </c>
      <c r="U123" s="10">
        <v>0.75</v>
      </c>
      <c r="V123" s="5"/>
    </row>
    <row r="124" spans="1:22" x14ac:dyDescent="0.25">
      <c r="A124" s="82" t="s">
        <v>3</v>
      </c>
      <c r="B124" s="31">
        <v>267.7</v>
      </c>
      <c r="C124" s="10">
        <v>7.0000000000000001E-3</v>
      </c>
      <c r="D124" s="1">
        <v>20833</v>
      </c>
      <c r="E124" s="16">
        <f t="shared" si="39"/>
        <v>24.460169491135318</v>
      </c>
      <c r="F124" s="16">
        <f t="shared" si="40"/>
        <v>7.7210278076351928</v>
      </c>
      <c r="G124" s="26">
        <f>(5.01*(B124^0.59)*Z$71)/(86.4*I$17)</f>
        <v>21.796183476368835</v>
      </c>
      <c r="H124" s="42">
        <f>L$32^(J124-(0.6458446*LN(P$36))-(9.53942*N124*(P$36/P$35))+(4.8904*N124))</f>
        <v>33.266116363005587</v>
      </c>
      <c r="I124" s="42">
        <f>((L$32^(J124-(0.6458446*LN(P$36))-(9.53942*N124*(P$36/P$35))+(4.8904*N124)))/1000)*$Z$71</f>
        <v>13.86332133311895</v>
      </c>
      <c r="J124" s="87">
        <v>4.7</v>
      </c>
      <c r="K124" s="56"/>
      <c r="L124" s="56"/>
      <c r="M124" s="83">
        <f t="shared" si="36"/>
        <v>168.24142662623069</v>
      </c>
      <c r="N124" s="10">
        <f t="shared" si="38"/>
        <v>1.3143861455174273</v>
      </c>
      <c r="O124" s="59"/>
      <c r="P124" s="59"/>
      <c r="Q124" s="89">
        <v>128</v>
      </c>
      <c r="R124" s="89"/>
      <c r="S124" s="10">
        <v>6.5230000000000002E-3</v>
      </c>
      <c r="T124" s="10">
        <v>0.49199999999999999</v>
      </c>
      <c r="U124" s="10">
        <v>0.72</v>
      </c>
      <c r="V124" s="5"/>
    </row>
    <row r="125" spans="1:22" x14ac:dyDescent="0.25">
      <c r="A125" s="82" t="s">
        <v>4</v>
      </c>
      <c r="B125" s="31">
        <v>113.7</v>
      </c>
      <c r="C125" s="10">
        <v>6.3E-3</v>
      </c>
      <c r="D125" s="1">
        <v>14233</v>
      </c>
      <c r="E125" s="16">
        <f t="shared" si="39"/>
        <v>16.479647531169558</v>
      </c>
      <c r="F125" s="16">
        <f t="shared" si="40"/>
        <v>9.0595981463496802</v>
      </c>
      <c r="G125" s="26">
        <f>(5.01*(B125^0.59)*Z$71)/(86.4*I$18)</f>
        <v>12.727003135679794</v>
      </c>
      <c r="H125" s="42">
        <f t="shared" ref="H125:H132" si="41">L$32^(J125-(0.6458446*LN(P$36))-(9.53942*N125*(P$36/P$35))+(4.8904*N125))</f>
        <v>22.897450929647032</v>
      </c>
      <c r="I125" s="42">
        <f t="shared" si="37"/>
        <v>9.5422837004211054</v>
      </c>
      <c r="J125" s="87">
        <v>4.7</v>
      </c>
      <c r="K125" s="56"/>
      <c r="L125" s="56"/>
      <c r="M125" s="83">
        <f t="shared" si="36"/>
        <v>14.241426626230691</v>
      </c>
      <c r="N125" s="10">
        <f t="shared" si="38"/>
        <v>0.11522189827047485</v>
      </c>
      <c r="O125" s="59"/>
      <c r="P125" s="59"/>
      <c r="Q125" s="89">
        <v>123.6</v>
      </c>
      <c r="R125" s="89"/>
      <c r="S125" s="10">
        <v>6.2963000000000003E-3</v>
      </c>
      <c r="T125" s="10">
        <v>0.5</v>
      </c>
      <c r="U125" s="10">
        <v>0.78500000000000003</v>
      </c>
      <c r="V125" s="5"/>
    </row>
    <row r="126" spans="1:22" x14ac:dyDescent="0.25">
      <c r="A126" s="82" t="s">
        <v>5</v>
      </c>
      <c r="B126" s="31">
        <v>4.7</v>
      </c>
      <c r="C126" s="10">
        <v>4.0000000000000001E-3</v>
      </c>
      <c r="D126" s="1">
        <v>4039</v>
      </c>
      <c r="E126" s="16">
        <f t="shared" si="39"/>
        <v>4.4894145478458034</v>
      </c>
      <c r="F126" s="16">
        <f t="shared" si="40"/>
        <v>1.6892457694686807</v>
      </c>
      <c r="G126" s="26">
        <f>(5.01*(B126^0.59)*Z$71)/(86.4*I$19)</f>
        <v>2.0072693456203736</v>
      </c>
      <c r="H126" s="42">
        <f t="shared" si="41"/>
        <v>7.5805882895350996</v>
      </c>
      <c r="I126" s="42">
        <f t="shared" si="37"/>
        <v>3.1591343637808578</v>
      </c>
      <c r="J126" s="87">
        <v>3.9</v>
      </c>
      <c r="K126" s="56"/>
      <c r="L126" s="56"/>
      <c r="M126" s="83">
        <f t="shared" si="36"/>
        <v>-94.758573373769309</v>
      </c>
      <c r="N126" s="10">
        <f t="shared" si="38"/>
        <v>-0.86537509930382928</v>
      </c>
      <c r="O126" s="59"/>
      <c r="P126" s="59"/>
      <c r="Q126" s="89">
        <v>109.5</v>
      </c>
      <c r="R126" s="89"/>
      <c r="S126" s="10">
        <v>4.0720000000000001E-3</v>
      </c>
      <c r="T126" s="10">
        <v>0.46</v>
      </c>
      <c r="U126" s="10">
        <v>0.72</v>
      </c>
      <c r="V126" s="5"/>
    </row>
    <row r="127" spans="1:22" x14ac:dyDescent="0.25">
      <c r="A127" s="82" t="s">
        <v>6</v>
      </c>
      <c r="B127" s="31">
        <v>3.4</v>
      </c>
      <c r="C127" s="10">
        <v>4.0000000000000001E-3</v>
      </c>
      <c r="D127" s="1">
        <v>1233</v>
      </c>
      <c r="E127" s="16">
        <f t="shared" si="39"/>
        <v>1.2912312686419103</v>
      </c>
      <c r="F127" s="16">
        <f t="shared" si="40"/>
        <v>0.99656038387264645</v>
      </c>
      <c r="G127" s="26">
        <f>(5.01*(B127^0.59)*Z$71)/(86.4*I$20)</f>
        <v>1.604722854905996</v>
      </c>
      <c r="H127" s="42">
        <f t="shared" si="41"/>
        <v>1.6678459517407189</v>
      </c>
      <c r="I127" s="42">
        <f t="shared" si="37"/>
        <v>0.6950581219284272</v>
      </c>
      <c r="J127" s="87">
        <v>2.4</v>
      </c>
      <c r="K127" s="56"/>
      <c r="L127" s="56"/>
      <c r="M127" s="83">
        <f t="shared" si="36"/>
        <v>-96.058573373769306</v>
      </c>
      <c r="N127" s="10">
        <f t="shared" si="38"/>
        <v>-0.91050780449070434</v>
      </c>
      <c r="O127" s="59"/>
      <c r="P127" s="59"/>
      <c r="Q127" s="89">
        <v>105.5</v>
      </c>
      <c r="R127" s="89"/>
      <c r="S127" s="10">
        <v>4.0400000000000002E-3</v>
      </c>
      <c r="T127" s="10">
        <v>0.495</v>
      </c>
      <c r="U127" s="10">
        <v>0.78300000000000003</v>
      </c>
      <c r="V127" s="5"/>
    </row>
    <row r="128" spans="1:22" x14ac:dyDescent="0.25">
      <c r="A128" s="82" t="s">
        <v>7</v>
      </c>
      <c r="B128" s="31">
        <v>34.200000000000003</v>
      </c>
      <c r="C128" s="10">
        <v>5.4000000000000003E-3</v>
      </c>
      <c r="D128" s="10">
        <v>4.2300000000000004</v>
      </c>
      <c r="E128" s="16">
        <f t="shared" si="39"/>
        <v>4.6426756105531624</v>
      </c>
      <c r="F128" s="16">
        <f t="shared" si="40"/>
        <v>0.96380957523088318</v>
      </c>
      <c r="G128" s="26">
        <f>(5.01*(B128^0.59)*Z$71)/(86.4*I$21)</f>
        <v>6.2647375182631917</v>
      </c>
      <c r="H128" s="42">
        <f t="shared" si="41"/>
        <v>0.49670956862120219</v>
      </c>
      <c r="I128" s="42">
        <f t="shared" si="37"/>
        <v>0.20699874562719983</v>
      </c>
      <c r="J128" s="87">
        <v>1.1000000000000001</v>
      </c>
      <c r="K128" s="56"/>
      <c r="L128" s="56"/>
      <c r="M128" s="83">
        <f t="shared" si="36"/>
        <v>-65.258573373769309</v>
      </c>
      <c r="N128" s="10">
        <f t="shared" si="38"/>
        <v>-0.62568143215502692</v>
      </c>
      <c r="O128" s="60"/>
      <c r="P128" s="59"/>
      <c r="Q128" s="89">
        <v>104.3</v>
      </c>
      <c r="R128" s="89"/>
      <c r="S128" s="10">
        <v>4.0020000000000003E-3</v>
      </c>
      <c r="T128" s="10">
        <v>0.39200000000000002</v>
      </c>
      <c r="U128" s="10">
        <v>0.7</v>
      </c>
      <c r="V128" s="5"/>
    </row>
    <row r="129" spans="1:22" x14ac:dyDescent="0.25">
      <c r="A129" s="82" t="s">
        <v>8</v>
      </c>
      <c r="B129" s="31">
        <v>2.8</v>
      </c>
      <c r="C129" s="10">
        <v>4.0000000000000001E-3</v>
      </c>
      <c r="D129" s="1">
        <v>2053</v>
      </c>
      <c r="E129" s="16">
        <f t="shared" si="39"/>
        <v>2.2056822694283329</v>
      </c>
      <c r="F129" s="16">
        <f t="shared" si="40"/>
        <v>0.60647575658133324</v>
      </c>
      <c r="G129" s="26">
        <f>(5.01*(B129^0.59)*Z$71)/(86.4*I$22)</f>
        <v>1.4787377317391672</v>
      </c>
      <c r="H129" s="42">
        <f t="shared" si="41"/>
        <v>0.44866229544183217</v>
      </c>
      <c r="I129" s="42">
        <f t="shared" si="37"/>
        <v>0.18697552500242914</v>
      </c>
      <c r="J129" s="87">
        <v>1.1000000000000001</v>
      </c>
      <c r="K129" s="56"/>
      <c r="L129" s="56"/>
      <c r="M129" s="83">
        <f t="shared" si="36"/>
        <v>-96.658573373769315</v>
      </c>
      <c r="N129" s="10">
        <f t="shared" si="38"/>
        <v>-0.95230121550511637</v>
      </c>
      <c r="O129" s="59"/>
      <c r="P129" s="59"/>
      <c r="Q129" s="89">
        <v>101.5</v>
      </c>
      <c r="R129" s="89"/>
      <c r="S129" s="10">
        <v>3.3E-3</v>
      </c>
      <c r="T129" s="10">
        <v>0.4</v>
      </c>
      <c r="U129" s="10">
        <v>0.7</v>
      </c>
      <c r="V129" s="5"/>
    </row>
    <row r="130" spans="1:22" ht="18.75" x14ac:dyDescent="0.3">
      <c r="A130" s="82" t="s">
        <v>9</v>
      </c>
      <c r="B130" s="31">
        <v>6.3</v>
      </c>
      <c r="C130" s="10">
        <v>4.0000000000000001E-3</v>
      </c>
      <c r="D130" s="1">
        <v>1329</v>
      </c>
      <c r="E130" s="16">
        <f t="shared" si="39"/>
        <v>1.3969614254695444</v>
      </c>
      <c r="F130" s="16">
        <f t="shared" si="40"/>
        <v>0.69165185161740173</v>
      </c>
      <c r="G130" s="26">
        <f>(5.01*(B130^0.59)*Z$71)/(86.4*I$23)</f>
        <v>2.3090769239442173</v>
      </c>
      <c r="H130" s="42">
        <f t="shared" si="41"/>
        <v>1.6950288232307731</v>
      </c>
      <c r="I130" s="42">
        <f>((L$32^(J130-(0.6458446*LN(P$36))-(9.53942*N130*(P$36/P$35))+(4.8904*N130)))/1000)*$Z$71</f>
        <v>0.70638631179319245</v>
      </c>
      <c r="J130" s="87">
        <v>2.4</v>
      </c>
      <c r="K130" s="56"/>
      <c r="L130" s="56"/>
      <c r="M130" s="83">
        <f t="shared" si="36"/>
        <v>-93.158573373769315</v>
      </c>
      <c r="N130" s="10">
        <f t="shared" si="38"/>
        <v>-0.85860436289188313</v>
      </c>
      <c r="O130" s="61"/>
      <c r="P130" s="62"/>
      <c r="Q130" s="89">
        <v>108.5</v>
      </c>
      <c r="R130" s="89"/>
      <c r="S130" s="10">
        <v>4.0109999999999998E-3</v>
      </c>
      <c r="T130" s="10">
        <v>0.47</v>
      </c>
      <c r="U130" s="10">
        <v>0.72</v>
      </c>
      <c r="V130" s="5"/>
    </row>
    <row r="131" spans="1:22" x14ac:dyDescent="0.25">
      <c r="A131" s="82" t="s">
        <v>10</v>
      </c>
      <c r="B131" s="31">
        <v>7.2</v>
      </c>
      <c r="C131" s="10">
        <v>4.1000000000000003E-3</v>
      </c>
      <c r="D131" s="10">
        <v>1.54</v>
      </c>
      <c r="E131" s="16">
        <f t="shared" si="39"/>
        <v>1.6285330208670794</v>
      </c>
      <c r="F131" s="16">
        <f t="shared" si="40"/>
        <v>0.57151851495930617</v>
      </c>
      <c r="G131" s="26">
        <f>(5.01*(B131^0.59)*Z$71)/(86.4*I$24)</f>
        <v>2.5816305337035534</v>
      </c>
      <c r="H131" s="42">
        <f t="shared" si="41"/>
        <v>7.6795434152993725</v>
      </c>
      <c r="I131" s="42">
        <f t="shared" si="37"/>
        <v>3.2003729228918605</v>
      </c>
      <c r="J131" s="87">
        <v>3.9</v>
      </c>
      <c r="K131" s="56"/>
      <c r="L131" s="56"/>
      <c r="M131" s="83">
        <f t="shared" si="36"/>
        <v>-92.258573373769309</v>
      </c>
      <c r="N131" s="10">
        <f t="shared" si="38"/>
        <v>-0.82373726226579735</v>
      </c>
      <c r="O131" s="62"/>
      <c r="P131" s="59"/>
      <c r="Q131" s="89">
        <v>112</v>
      </c>
      <c r="R131" s="89"/>
      <c r="S131" s="10">
        <v>3.8700000000000002E-3</v>
      </c>
      <c r="T131" s="10">
        <v>0.4</v>
      </c>
      <c r="U131" s="10">
        <v>0.7</v>
      </c>
      <c r="V131" s="5"/>
    </row>
    <row r="132" spans="1:22" x14ac:dyDescent="0.25">
      <c r="A132" s="82" t="s">
        <v>11</v>
      </c>
      <c r="B132" s="31">
        <v>26</v>
      </c>
      <c r="C132" s="10">
        <v>5.1000000000000004E-3</v>
      </c>
      <c r="D132" s="1">
        <v>3555</v>
      </c>
      <c r="E132" s="16">
        <f t="shared" si="39"/>
        <v>3.8780533433410631</v>
      </c>
      <c r="F132" s="16">
        <f t="shared" si="40"/>
        <v>0.48064913624675215</v>
      </c>
      <c r="G132" s="26">
        <f>(5.01*(B132^0.59)*Z$71)/(86.4*I$25)</f>
        <v>5.3291967239948193</v>
      </c>
      <c r="H132" s="42">
        <f t="shared" si="41"/>
        <v>8.2245775705401662</v>
      </c>
      <c r="I132" s="42">
        <f t="shared" si="37"/>
        <v>3.4275104567469086</v>
      </c>
      <c r="J132" s="87">
        <v>3.9</v>
      </c>
      <c r="K132" s="56"/>
      <c r="L132" s="56"/>
      <c r="M132" s="83">
        <f t="shared" si="36"/>
        <v>-73.458573373769312</v>
      </c>
      <c r="N132" s="10">
        <f t="shared" si="38"/>
        <v>-0.60360372533910689</v>
      </c>
      <c r="O132" s="83"/>
      <c r="P132" s="83"/>
      <c r="Q132" s="89">
        <v>121.7</v>
      </c>
      <c r="R132" s="89"/>
      <c r="S132" s="10">
        <v>2.111E-3</v>
      </c>
      <c r="T132" s="10">
        <v>0.4</v>
      </c>
      <c r="U132" s="10">
        <v>0.7</v>
      </c>
      <c r="V132" s="5"/>
    </row>
    <row r="133" spans="1:22" x14ac:dyDescent="0.25">
      <c r="A133" s="82" t="s">
        <v>12</v>
      </c>
      <c r="B133" s="12">
        <v>1988</v>
      </c>
      <c r="C133" s="12">
        <v>1988</v>
      </c>
      <c r="D133" s="87">
        <v>1988</v>
      </c>
      <c r="E133" s="87">
        <v>1988</v>
      </c>
      <c r="F133" s="87">
        <v>1988</v>
      </c>
      <c r="G133" s="87">
        <v>1988</v>
      </c>
      <c r="H133" s="87">
        <v>1988</v>
      </c>
      <c r="I133" s="87">
        <v>1988</v>
      </c>
      <c r="J133" s="47" t="s">
        <v>70</v>
      </c>
      <c r="K133" s="27"/>
      <c r="L133" s="27"/>
      <c r="M133" s="39" t="s">
        <v>60</v>
      </c>
      <c r="N133" s="39" t="s">
        <v>73</v>
      </c>
      <c r="O133" s="105" t="s">
        <v>57</v>
      </c>
      <c r="P133" s="105"/>
      <c r="Q133" s="10"/>
      <c r="R133" s="10"/>
      <c r="S133" s="12">
        <v>1988</v>
      </c>
      <c r="T133" s="12">
        <v>1988</v>
      </c>
      <c r="U133" s="12">
        <v>1988</v>
      </c>
      <c r="V133" s="5"/>
    </row>
    <row r="134" spans="1:22" x14ac:dyDescent="0.25">
      <c r="A134" s="82" t="s">
        <v>0</v>
      </c>
      <c r="B134" s="31">
        <v>70.900000000000006</v>
      </c>
      <c r="C134" s="10">
        <v>5.8999999999999999E-3</v>
      </c>
      <c r="D134" s="1">
        <v>7423</v>
      </c>
      <c r="E134" s="16">
        <f>C134*(($Z$71^F$24)*((0.7*B134+0.29*B132+0.01*B131)^(F$20)))</f>
        <v>8.3439759021622937</v>
      </c>
      <c r="F134" s="16">
        <f>S134*(($Z$71^U$82)*(((0.7*B134)+(0.29*B132)+(0.01*B131))^(T$82)))</f>
        <v>3.4207233102445715</v>
      </c>
      <c r="G134" s="26">
        <f>(5.01*(B134^0.59)*Z$71)/(86.4*I$14)</f>
        <v>9.6318288232032057</v>
      </c>
      <c r="H134" s="42">
        <f>L$32^(J134-(0.6458446*LN(P$36))-(9.53942*N134*(P$36/P$35))+(4.8904*N134))</f>
        <v>22.690432106757093</v>
      </c>
      <c r="I134" s="42">
        <f>((L$32^(J134-(0.6458446*LN(P$36))-(9.53942*N134*(P$36/P$35))+(4.8904*N134)))/1000)*$Z$71</f>
        <v>9.4560106761699512</v>
      </c>
      <c r="J134" s="87">
        <v>4.7</v>
      </c>
      <c r="K134" s="56"/>
      <c r="L134" s="56"/>
      <c r="M134" s="83">
        <f t="shared" ref="M134:M145" si="42">(B134-(0.74*P$135))</f>
        <v>10.887017532819947</v>
      </c>
      <c r="N134" s="10">
        <f>M134/Q134</f>
        <v>8.6063379706086532E-2</v>
      </c>
      <c r="O134" s="50" t="s">
        <v>58</v>
      </c>
      <c r="P134" s="82">
        <f>(B134+B135+B136+B137+B138+B139+B140+B141+B142+B143+B144+B145)/12</f>
        <v>58.583333333333343</v>
      </c>
      <c r="Q134" s="89">
        <v>126.5</v>
      </c>
      <c r="R134" s="89"/>
      <c r="S134" s="10">
        <v>5.0039999999999998E-3</v>
      </c>
      <c r="T134" s="10">
        <v>0.41099999999999998</v>
      </c>
      <c r="U134" s="10">
        <v>0.71</v>
      </c>
      <c r="V134" s="5"/>
    </row>
    <row r="135" spans="1:22" x14ac:dyDescent="0.25">
      <c r="A135" s="82" t="s">
        <v>1</v>
      </c>
      <c r="B135" s="31">
        <v>226.3</v>
      </c>
      <c r="C135" s="10">
        <v>7.0000000000000001E-3</v>
      </c>
      <c r="D135" s="1">
        <v>16902</v>
      </c>
      <c r="E135" s="16">
        <f>C135*(($Z$71^F$24)*((0.7*B135+0.29*B134+0.01*B132)^(F$20)))</f>
        <v>19.635323763152716</v>
      </c>
      <c r="F135" s="16">
        <f>S135*(($Z$71^U135)*(((0.7*B135)+(0.29*B134)+(0.01*B132))^(T135)))</f>
        <v>3.0824715424072759</v>
      </c>
      <c r="G135" s="26">
        <f>(5.01*(B135^0.59)*Z$71)/(86.4*J$15)</f>
        <v>20.419968119567873</v>
      </c>
      <c r="H135" s="42">
        <f>L$32^(J135-(0.6458446*LN(P$36))-(9.53942*N135*(P$36/P$35))+(4.8904*N135))</f>
        <v>34.712442212719068</v>
      </c>
      <c r="I135" s="42">
        <f t="shared" ref="I135:I145" si="43">((L$32^(J135-(0.6458446*LN(P$36))-(9.53942*N135*(P$36/P$35))+(4.8904*N135)))/1000)*$Z$71</f>
        <v>14.466063167728544</v>
      </c>
      <c r="J135" s="87">
        <v>4.7</v>
      </c>
      <c r="K135" s="56"/>
      <c r="L135" s="56"/>
      <c r="M135" s="83">
        <f t="shared" si="42"/>
        <v>166.28701753281996</v>
      </c>
      <c r="N135" s="10">
        <f t="shared" ref="N135:N145" si="44">M135/Q135</f>
        <v>1.4510210953998253</v>
      </c>
      <c r="O135" s="50" t="s">
        <v>66</v>
      </c>
      <c r="P135" s="83">
        <f>((((B134-P134)^2+(B135-P134)^2+(B136-P134)^2+(B137-P134)^2+(B138-P134)^2+(B139-P134)^2+(B140-P134)^2+(B141-P134)^2+(B142-P134)^2+(B143-P134)^2+(B144-P134)^2+(B145-P134)^2))/(12-1))^0.5</f>
        <v>81.098624955648731</v>
      </c>
      <c r="Q135" s="89">
        <v>114.6</v>
      </c>
      <c r="R135" s="89"/>
      <c r="S135" s="10">
        <v>6.4559999999999999E-3</v>
      </c>
      <c r="T135" s="10">
        <v>0.375</v>
      </c>
      <c r="U135" s="10">
        <v>0.7</v>
      </c>
      <c r="V135" s="5"/>
    </row>
    <row r="136" spans="1:22" x14ac:dyDescent="0.25">
      <c r="A136" s="82" t="s">
        <v>2</v>
      </c>
      <c r="B136" s="31">
        <v>46.9</v>
      </c>
      <c r="C136" s="10">
        <v>5.4999999999999997E-3</v>
      </c>
      <c r="D136" s="1">
        <v>9471</v>
      </c>
      <c r="E136" s="16">
        <f t="shared" ref="E136:E145" si="45">C136*(($Z$71^F$24)*((0.7*B136+0.29*B135+0.01*B134)^(F$20)))</f>
        <v>10.816145400820782</v>
      </c>
      <c r="F136" s="16">
        <f t="shared" ref="F136:F145" si="46">S136*(($Z$71^U136)*(((0.7*B136)+(0.29*B135)+(0.01*B134))^(T136)))</f>
        <v>1.9197301518062475</v>
      </c>
      <c r="G136" s="26">
        <f>(5.01*(B136^0.59)*Z$71)/(86.4*I$16)</f>
        <v>7.5477838431253623</v>
      </c>
      <c r="H136" s="42">
        <f>L$32^(J136-(0.6458446*LN(P$36))-(9.53942*N136*(P$36/P$35))+(4.8904*N136))</f>
        <v>21.409061993459172</v>
      </c>
      <c r="I136" s="42">
        <f t="shared" si="43"/>
        <v>8.9220124951541759</v>
      </c>
      <c r="J136" s="87">
        <v>4.7</v>
      </c>
      <c r="K136" s="56"/>
      <c r="L136" s="58"/>
      <c r="M136" s="83">
        <f t="shared" si="42"/>
        <v>-13.112982467180061</v>
      </c>
      <c r="N136" s="10">
        <f t="shared" si="44"/>
        <v>-0.1005596814967796</v>
      </c>
      <c r="O136" s="83"/>
      <c r="P136" s="83"/>
      <c r="Q136" s="89">
        <v>130.4</v>
      </c>
      <c r="R136" s="89"/>
      <c r="S136" s="10">
        <v>4.9740000000000001E-3</v>
      </c>
      <c r="T136" s="10">
        <v>0.377</v>
      </c>
      <c r="U136" s="10">
        <v>0.7</v>
      </c>
      <c r="V136" s="5"/>
    </row>
    <row r="137" spans="1:22" x14ac:dyDescent="0.25">
      <c r="A137" s="82" t="s">
        <v>3</v>
      </c>
      <c r="B137" s="31">
        <v>219.9</v>
      </c>
      <c r="C137" s="10">
        <v>6.8999999999999999E-3</v>
      </c>
      <c r="D137" s="1">
        <v>16153</v>
      </c>
      <c r="E137" s="16">
        <f t="shared" si="45"/>
        <v>18.736766490780763</v>
      </c>
      <c r="F137" s="16">
        <f t="shared" si="46"/>
        <v>3.8062641892004474</v>
      </c>
      <c r="G137" s="26">
        <f>(5.01*(B137^0.59)*Z$71)/(86.4*I$17)</f>
        <v>19.408000798169343</v>
      </c>
      <c r="H137" s="42">
        <f>L$32^(J137-(0.6458446*LN(P$36))-(9.53942*N137*(P$36/P$35))+(4.8904*N137))</f>
        <v>32.596650065646791</v>
      </c>
      <c r="I137" s="42">
        <f>((L$32^(J137-(0.6458446*LN(P$36))-(9.53942*N137*(P$36/P$35))+(4.8904*N137)))/1000)*$Z$71</f>
        <v>13.584327948357645</v>
      </c>
      <c r="J137" s="87">
        <v>4.7</v>
      </c>
      <c r="K137" s="56"/>
      <c r="L137" s="56"/>
      <c r="M137" s="83">
        <f t="shared" si="42"/>
        <v>159.88701753281995</v>
      </c>
      <c r="N137" s="10">
        <f t="shared" si="44"/>
        <v>1.2491173244751559</v>
      </c>
      <c r="O137" s="83"/>
      <c r="P137" s="83"/>
      <c r="Q137" s="89">
        <v>128</v>
      </c>
      <c r="R137" s="89"/>
      <c r="S137" s="10">
        <v>6.5319999999999996E-3</v>
      </c>
      <c r="T137" s="10">
        <v>0.40600000000000003</v>
      </c>
      <c r="U137" s="10">
        <v>0.71</v>
      </c>
      <c r="V137" s="5"/>
    </row>
    <row r="138" spans="1:22" x14ac:dyDescent="0.25">
      <c r="A138" s="82" t="s">
        <v>4</v>
      </c>
      <c r="B138" s="31">
        <v>75.099999999999994</v>
      </c>
      <c r="C138" s="10">
        <v>6.0000000000000001E-3</v>
      </c>
      <c r="D138" s="1">
        <v>11345</v>
      </c>
      <c r="E138" s="16">
        <f t="shared" si="45"/>
        <v>13.017614749836046</v>
      </c>
      <c r="F138" s="16">
        <f t="shared" si="46"/>
        <v>2.1707936246377448</v>
      </c>
      <c r="G138" s="26">
        <f>(5.01*(B138^0.59)*Z$71)/(86.4*I$18)</f>
        <v>9.9644891768325827</v>
      </c>
      <c r="H138" s="42">
        <f t="shared" ref="H138:H145" si="47">L$32^(J138-(0.6458446*LN(P$36))-(9.53942*N138*(P$36/P$35))+(4.8904*N138))</f>
        <v>22.946295884631798</v>
      </c>
      <c r="I138" s="42">
        <f t="shared" si="43"/>
        <v>9.5626393469614559</v>
      </c>
      <c r="J138" s="87">
        <v>4.7</v>
      </c>
      <c r="K138" s="56"/>
      <c r="L138" s="56"/>
      <c r="M138" s="83">
        <f t="shared" si="42"/>
        <v>15.087017532819935</v>
      </c>
      <c r="N138" s="10">
        <f t="shared" si="44"/>
        <v>0.12206324864741049</v>
      </c>
      <c r="O138" s="59"/>
      <c r="P138" s="59"/>
      <c r="Q138" s="89">
        <v>123.6</v>
      </c>
      <c r="R138" s="89"/>
      <c r="S138" s="10">
        <v>5.0179999999999999E-3</v>
      </c>
      <c r="T138" s="10">
        <v>0.38800000000000001</v>
      </c>
      <c r="U138" s="10">
        <v>0.7</v>
      </c>
      <c r="V138" s="5"/>
    </row>
    <row r="139" spans="1:22" x14ac:dyDescent="0.25">
      <c r="A139" s="82" t="s">
        <v>5</v>
      </c>
      <c r="B139" s="31">
        <v>3</v>
      </c>
      <c r="C139" s="10">
        <v>4.0000000000000001E-3</v>
      </c>
      <c r="D139" s="1">
        <v>3212</v>
      </c>
      <c r="E139" s="16">
        <f t="shared" si="45"/>
        <v>3.5295286363571483</v>
      </c>
      <c r="F139" s="16">
        <f t="shared" si="46"/>
        <v>0.72158489244859469</v>
      </c>
      <c r="G139" s="26">
        <f>(5.01*(B139^0.59)*Z$71)/(86.4*I$19)</f>
        <v>1.5401728248859967</v>
      </c>
      <c r="H139" s="42">
        <f t="shared" si="47"/>
        <v>8.4398124629947056</v>
      </c>
      <c r="I139" s="42">
        <f t="shared" si="43"/>
        <v>3.5172074458284133</v>
      </c>
      <c r="J139" s="87">
        <v>3.9</v>
      </c>
      <c r="K139" s="56"/>
      <c r="L139" s="56"/>
      <c r="M139" s="83">
        <f t="shared" si="42"/>
        <v>-57.012982467180059</v>
      </c>
      <c r="N139" s="10">
        <f t="shared" si="44"/>
        <v>-0.52066650654958957</v>
      </c>
      <c r="O139" s="59"/>
      <c r="P139" s="59"/>
      <c r="Q139" s="89">
        <v>109.5</v>
      </c>
      <c r="R139" s="89"/>
      <c r="S139" s="10">
        <v>3.0040000000000002E-3</v>
      </c>
      <c r="T139" s="10">
        <v>0.38600000000000001</v>
      </c>
      <c r="U139" s="10">
        <v>0.7</v>
      </c>
      <c r="V139" s="5"/>
    </row>
    <row r="140" spans="1:22" x14ac:dyDescent="0.25">
      <c r="A140" s="82" t="s">
        <v>6</v>
      </c>
      <c r="B140" s="31">
        <v>4.0999999999999996</v>
      </c>
      <c r="C140" s="10">
        <v>4.0000000000000001E-3</v>
      </c>
      <c r="D140" s="1">
        <v>1176</v>
      </c>
      <c r="E140" s="16">
        <f t="shared" si="45"/>
        <v>1.228451384960999</v>
      </c>
      <c r="F140" s="16">
        <f t="shared" si="46"/>
        <v>0.5400722832176148</v>
      </c>
      <c r="G140" s="26">
        <f>(5.01*(B140^0.59)*Z$71)/(86.4*I$20)</f>
        <v>1.7921318259454937</v>
      </c>
      <c r="H140" s="42">
        <f t="shared" si="47"/>
        <v>1.8777211048684126</v>
      </c>
      <c r="I140" s="42">
        <f t="shared" si="43"/>
        <v>0.78252149324286224</v>
      </c>
      <c r="J140" s="87">
        <v>2.4</v>
      </c>
      <c r="K140" s="56"/>
      <c r="L140" s="56"/>
      <c r="M140" s="83">
        <f t="shared" si="42"/>
        <v>-55.912982467180058</v>
      </c>
      <c r="N140" s="10">
        <f t="shared" si="44"/>
        <v>-0.52998087646616165</v>
      </c>
      <c r="O140" s="59"/>
      <c r="P140" s="59"/>
      <c r="Q140" s="89">
        <v>105.5</v>
      </c>
      <c r="R140" s="89"/>
      <c r="S140" s="10">
        <v>3.9899999999999996E-3</v>
      </c>
      <c r="T140" s="10">
        <v>0.41599999999999998</v>
      </c>
      <c r="U140" s="10">
        <v>0.71</v>
      </c>
      <c r="V140" s="5"/>
    </row>
    <row r="141" spans="1:22" x14ac:dyDescent="0.25">
      <c r="A141" s="82" t="s">
        <v>7</v>
      </c>
      <c r="B141" s="31">
        <v>1.5</v>
      </c>
      <c r="C141" s="10">
        <v>4.0000000000000001E-3</v>
      </c>
      <c r="D141" s="10">
        <v>0.79600000000000004</v>
      </c>
      <c r="E141" s="16">
        <f t="shared" si="45"/>
        <v>0.81555421905667802</v>
      </c>
      <c r="F141" s="16">
        <f t="shared" si="46"/>
        <v>0.53995670546462293</v>
      </c>
      <c r="G141" s="26">
        <f>(5.01*(B141^0.59)*Z$71)/(86.4*I$21)</f>
        <v>0.99019634694337466</v>
      </c>
      <c r="H141" s="42">
        <f t="shared" si="47"/>
        <v>0.50681716498124008</v>
      </c>
      <c r="I141" s="42">
        <f t="shared" si="43"/>
        <v>0.21121098533428198</v>
      </c>
      <c r="J141" s="87">
        <v>1.1000000000000001</v>
      </c>
      <c r="K141" s="56"/>
      <c r="L141" s="56"/>
      <c r="M141" s="83">
        <f t="shared" si="42"/>
        <v>-58.512982467180059</v>
      </c>
      <c r="N141" s="10">
        <f t="shared" si="44"/>
        <v>-0.5610065433094924</v>
      </c>
      <c r="O141" s="60"/>
      <c r="P141" s="59"/>
      <c r="Q141" s="89">
        <v>104.3</v>
      </c>
      <c r="R141" s="89"/>
      <c r="S141" s="10">
        <v>4.1999999999999997E-3</v>
      </c>
      <c r="T141" s="10">
        <v>0.42</v>
      </c>
      <c r="U141" s="10">
        <v>0.748</v>
      </c>
      <c r="V141" s="5"/>
    </row>
    <row r="142" spans="1:22" x14ac:dyDescent="0.25">
      <c r="A142" s="82" t="s">
        <v>8</v>
      </c>
      <c r="B142" s="31">
        <v>9.1999999999999993</v>
      </c>
      <c r="C142" s="10">
        <v>4.4000000000000003E-3</v>
      </c>
      <c r="D142" s="1">
        <v>1656</v>
      </c>
      <c r="E142" s="16">
        <f t="shared" si="45"/>
        <v>1.7508857864234568</v>
      </c>
      <c r="F142" s="16">
        <f t="shared" si="46"/>
        <v>0.51864687242318963</v>
      </c>
      <c r="G142" s="26">
        <f>(5.01*(B142^0.59)*Z$71)/(86.4*I$22)</f>
        <v>2.9833398839662144</v>
      </c>
      <c r="H142" s="42">
        <f t="shared" si="47"/>
        <v>0.51644007477491261</v>
      </c>
      <c r="I142" s="42">
        <f t="shared" si="43"/>
        <v>0.21522123676169708</v>
      </c>
      <c r="J142" s="87">
        <v>1.1000000000000001</v>
      </c>
      <c r="K142" s="56"/>
      <c r="L142" s="56"/>
      <c r="M142" s="83">
        <f t="shared" si="42"/>
        <v>-50.812982467180063</v>
      </c>
      <c r="N142" s="10">
        <f t="shared" si="44"/>
        <v>-0.50062051691803022</v>
      </c>
      <c r="O142" s="59"/>
      <c r="P142" s="59"/>
      <c r="Q142" s="89">
        <v>101.5</v>
      </c>
      <c r="R142" s="89"/>
      <c r="S142" s="10">
        <v>3.7000000000000002E-3</v>
      </c>
      <c r="T142" s="10">
        <v>0.38800000000000001</v>
      </c>
      <c r="U142" s="10">
        <v>0.69499999999999995</v>
      </c>
      <c r="V142" s="5"/>
    </row>
    <row r="143" spans="1:22" ht="18.75" x14ac:dyDescent="0.3">
      <c r="A143" s="82" t="s">
        <v>9</v>
      </c>
      <c r="B143" s="31">
        <v>3.1</v>
      </c>
      <c r="C143" s="10">
        <v>4.0000000000000001E-3</v>
      </c>
      <c r="D143" s="10">
        <v>1.23</v>
      </c>
      <c r="E143" s="16">
        <f t="shared" si="45"/>
        <v>1.2869400486780218</v>
      </c>
      <c r="F143" s="16">
        <f t="shared" si="46"/>
        <v>0.51329819730501336</v>
      </c>
      <c r="G143" s="26">
        <f>(5.01*(B143^0.59)*Z$71)/(86.4*I$23)</f>
        <v>1.5196055684204184</v>
      </c>
      <c r="H143" s="42">
        <f t="shared" si="47"/>
        <v>1.8809038867281742</v>
      </c>
      <c r="I143" s="42">
        <f>((L$32^(J143-(0.6458446*LN(P$36))-(9.53942*N143*(P$36/P$35))+(4.8904*N143)))/1000)*$Z$71</f>
        <v>0.78384788575509934</v>
      </c>
      <c r="J143" s="87">
        <v>2.4</v>
      </c>
      <c r="K143" s="56"/>
      <c r="L143" s="56"/>
      <c r="M143" s="83">
        <f t="shared" si="42"/>
        <v>-56.912982467180058</v>
      </c>
      <c r="N143" s="10">
        <f t="shared" si="44"/>
        <v>-0.52454361720903275</v>
      </c>
      <c r="O143" s="61"/>
      <c r="P143" s="62"/>
      <c r="Q143" s="89">
        <v>108.5</v>
      </c>
      <c r="R143" s="89"/>
      <c r="S143" s="10">
        <v>4.0000000000000001E-3</v>
      </c>
      <c r="T143" s="10">
        <v>0.4</v>
      </c>
      <c r="U143" s="10">
        <v>0.7</v>
      </c>
      <c r="V143" s="5"/>
    </row>
    <row r="144" spans="1:22" x14ac:dyDescent="0.25">
      <c r="A144" s="82" t="s">
        <v>10</v>
      </c>
      <c r="B144" s="31">
        <v>16.5</v>
      </c>
      <c r="C144" s="10">
        <v>4.7000000000000002E-3</v>
      </c>
      <c r="D144" s="1">
        <v>2485</v>
      </c>
      <c r="E144" s="16">
        <f t="shared" si="45"/>
        <v>2.6729406055196887</v>
      </c>
      <c r="F144" s="16">
        <f t="shared" si="46"/>
        <v>0.50164560236075473</v>
      </c>
      <c r="G144" s="26">
        <f>(5.01*(B144^0.59)*Z$71)/(86.4*I$24)</f>
        <v>4.2109825636398917</v>
      </c>
      <c r="H144" s="42">
        <f t="shared" si="47"/>
        <v>8.7944810209857138</v>
      </c>
      <c r="I144" s="42">
        <f t="shared" si="43"/>
        <v>3.6650120206855861</v>
      </c>
      <c r="J144" s="87">
        <v>3.9</v>
      </c>
      <c r="K144" s="56"/>
      <c r="L144" s="56"/>
      <c r="M144" s="83">
        <f t="shared" si="42"/>
        <v>-43.512982467180059</v>
      </c>
      <c r="N144" s="10">
        <f t="shared" si="44"/>
        <v>-0.3885087720283934</v>
      </c>
      <c r="O144" s="10"/>
      <c r="P144" s="83"/>
      <c r="Q144" s="89">
        <v>112</v>
      </c>
      <c r="R144" s="89"/>
      <c r="S144" s="10">
        <v>2.9129999999999998E-3</v>
      </c>
      <c r="T144" s="10">
        <v>0.39</v>
      </c>
      <c r="U144" s="10">
        <v>0.69</v>
      </c>
      <c r="V144" s="5"/>
    </row>
    <row r="145" spans="1:22" x14ac:dyDescent="0.25">
      <c r="A145" s="82" t="s">
        <v>11</v>
      </c>
      <c r="B145" s="31">
        <v>26.5</v>
      </c>
      <c r="C145" s="10">
        <v>5.1000000000000004E-3</v>
      </c>
      <c r="D145" s="1">
        <v>3847</v>
      </c>
      <c r="E145" s="16">
        <f t="shared" si="45"/>
        <v>4.2132084780560888</v>
      </c>
      <c r="F145" s="16">
        <f t="shared" si="46"/>
        <v>0.50158101381645259</v>
      </c>
      <c r="G145" s="26">
        <f>(5.01*(B145^0.59)*Z$71)/(86.4*I$25)</f>
        <v>5.3894263646781049</v>
      </c>
      <c r="H145" s="42">
        <f t="shared" si="47"/>
        <v>9.1099160048090848</v>
      </c>
      <c r="I145" s="42">
        <f t="shared" si="43"/>
        <v>3.796466395844138</v>
      </c>
      <c r="J145" s="87">
        <v>3.9</v>
      </c>
      <c r="K145" s="56"/>
      <c r="L145" s="56"/>
      <c r="M145" s="83">
        <f t="shared" si="42"/>
        <v>-33.512982467180059</v>
      </c>
      <c r="N145" s="10">
        <f t="shared" si="44"/>
        <v>-0.27537372610665617</v>
      </c>
      <c r="O145" s="83"/>
      <c r="P145" s="83"/>
      <c r="Q145" s="89">
        <v>121.7</v>
      </c>
      <c r="R145" s="89"/>
      <c r="S145" s="10">
        <v>2.2850000000000001E-3</v>
      </c>
      <c r="T145" s="10">
        <v>0.39</v>
      </c>
      <c r="U145" s="10">
        <v>0.69</v>
      </c>
      <c r="V145" s="5"/>
    </row>
    <row r="146" spans="1:22" x14ac:dyDescent="0.25">
      <c r="A146" s="82" t="s">
        <v>12</v>
      </c>
      <c r="B146" s="12">
        <v>1989</v>
      </c>
      <c r="C146" s="12">
        <v>1989</v>
      </c>
      <c r="D146" s="87">
        <v>1989</v>
      </c>
      <c r="E146" s="87">
        <v>1989</v>
      </c>
      <c r="F146" s="87">
        <v>1989</v>
      </c>
      <c r="G146" s="87">
        <v>1989</v>
      </c>
      <c r="H146" s="87">
        <v>1989</v>
      </c>
      <c r="I146" s="87">
        <v>1989</v>
      </c>
      <c r="J146" s="47" t="s">
        <v>70</v>
      </c>
      <c r="K146" s="27"/>
      <c r="L146" s="27"/>
      <c r="M146" s="39" t="s">
        <v>60</v>
      </c>
      <c r="N146" s="39" t="s">
        <v>73</v>
      </c>
      <c r="O146" s="105" t="s">
        <v>57</v>
      </c>
      <c r="P146" s="105"/>
      <c r="Q146" s="10"/>
      <c r="R146" s="10"/>
      <c r="S146" s="12">
        <v>1989</v>
      </c>
      <c r="T146" s="12">
        <v>1989</v>
      </c>
      <c r="U146" s="12">
        <v>1989</v>
      </c>
      <c r="V146" s="5"/>
    </row>
    <row r="147" spans="1:22" x14ac:dyDescent="0.25">
      <c r="A147" s="82" t="s">
        <v>0</v>
      </c>
      <c r="B147" s="31">
        <v>380.3</v>
      </c>
      <c r="C147" s="10">
        <v>7.4000000000000003E-3</v>
      </c>
      <c r="D147" s="1">
        <v>22772</v>
      </c>
      <c r="E147" s="16">
        <f>C147*(($Z$71^F$24)*((0.7*B147+0.29*B145+0.01*B144)^(F$20)))</f>
        <v>26.781275781100845</v>
      </c>
      <c r="F147" s="16">
        <f>S147*(($Z$71^U$82)*(((0.7*B147)+(0.29*B145)+(0.01*B144))^(T$82)))</f>
        <v>9.2980614408017885</v>
      </c>
      <c r="G147" s="26">
        <f>(5.01*(B147^0.59)*Z$71)/(86.4*I$14)</f>
        <v>25.947887655887442</v>
      </c>
      <c r="H147" s="42">
        <f>L$32^(J147-(0.6458446*LN(P$36))-(9.53942*N147*(P$36/P$35))+(4.8904*N147))</f>
        <v>44.096168911458783</v>
      </c>
      <c r="I147" s="42">
        <f>((L$32^(J147-(0.6458446*LN(P$36))-(9.53942*N147*(P$36/P$35))+(4.8904*N147)))/1000)*$Z$71</f>
        <v>18.376637432161331</v>
      </c>
      <c r="J147" s="87">
        <v>4.7</v>
      </c>
      <c r="K147" s="56"/>
      <c r="L147" s="56"/>
      <c r="M147" s="83">
        <f t="shared" ref="M147:M158" si="48">(B147-(0.74*P$148))</f>
        <v>280.73025471392759</v>
      </c>
      <c r="N147" s="10">
        <f>M147/Q147</f>
        <v>2.2192114997148424</v>
      </c>
      <c r="O147" s="50" t="s">
        <v>58</v>
      </c>
      <c r="P147" s="83">
        <f>(B147+B148+B149+B150+B151+B152+B153+B154+B155+B156+B157+B158)/12</f>
        <v>94.15833333333336</v>
      </c>
      <c r="Q147" s="89">
        <v>126.5</v>
      </c>
      <c r="R147" s="89"/>
      <c r="S147" s="10">
        <v>6.4140000000000004E-3</v>
      </c>
      <c r="T147" s="10">
        <v>0.36199999999999999</v>
      </c>
      <c r="U147" s="10">
        <v>0.68</v>
      </c>
      <c r="V147" s="5"/>
    </row>
    <row r="148" spans="1:22" x14ac:dyDescent="0.25">
      <c r="A148" s="82" t="s">
        <v>1</v>
      </c>
      <c r="B148" s="31">
        <v>318.8</v>
      </c>
      <c r="C148" s="10">
        <v>7.3000000000000001E-3</v>
      </c>
      <c r="D148" s="1">
        <v>25138</v>
      </c>
      <c r="E148" s="16">
        <f>C148*(($Z$71^F$24)*((0.7*B148+0.29*B147+0.01*B145)^(F$20)))</f>
        <v>29.732957104997123</v>
      </c>
      <c r="F148" s="16">
        <f>S148*(($Z$71^U148)*(((0.7*B148)+(0.29*B147)+(0.01*B145))^(T148)))</f>
        <v>11.159937442556288</v>
      </c>
      <c r="G148" s="26">
        <f>(5.01*(B148^0.59)*Z$71)/(86.4*J$15)</f>
        <v>24.995796334821087</v>
      </c>
      <c r="H148" s="42">
        <f>L$32^(J148-(0.6458446*LN(P$36))-(9.53942*N148*(P$36/P$35))+(4.8904*N148))</f>
        <v>40.084746436336431</v>
      </c>
      <c r="I148" s="42">
        <f t="shared" ref="I148:I158" si="49">((L$32^(J148-(0.6458446*LN(P$36))-(9.53942*N148*(P$36/P$35))+(4.8904*N148)))/1000)*$Z$71</f>
        <v>16.704917229878845</v>
      </c>
      <c r="J148" s="87">
        <v>4.7</v>
      </c>
      <c r="K148" s="56"/>
      <c r="L148" s="56"/>
      <c r="M148" s="83">
        <f t="shared" si="48"/>
        <v>219.23025471392762</v>
      </c>
      <c r="N148" s="10">
        <f t="shared" ref="N148:N158" si="50">M148/Q148</f>
        <v>1.9130039678353197</v>
      </c>
      <c r="O148" s="50" t="s">
        <v>66</v>
      </c>
      <c r="P148" s="83">
        <f>((((B147-P147)^2+(B148-P147)^2+(B149-P147)^2+(B150-P147)^2+(B151-P147)^2+(B152-P147)^2+(B153-P147)^2+(B154-P147)^2+(B155-P147)^2+(B156-P147)^2+(B157-P147)^2+(B158-P147)^2))/(12-1))^0.5</f>
        <v>134.55370984604377</v>
      </c>
      <c r="Q148" s="89">
        <v>114.6</v>
      </c>
      <c r="R148" s="89"/>
      <c r="S148" s="10">
        <v>7.4229999999999999E-3</v>
      </c>
      <c r="T148" s="10">
        <v>0.47</v>
      </c>
      <c r="U148" s="10">
        <v>0.76</v>
      </c>
      <c r="V148" s="5"/>
    </row>
    <row r="149" spans="1:22" x14ac:dyDescent="0.25">
      <c r="A149" s="82" t="s">
        <v>2</v>
      </c>
      <c r="B149" s="31">
        <v>187.6</v>
      </c>
      <c r="C149" s="10">
        <v>6.7000000000000002E-3</v>
      </c>
      <c r="D149" s="1">
        <v>18541</v>
      </c>
      <c r="E149" s="16">
        <f t="shared" ref="E149:E158" si="51">C149*(($Z$71^F$24)*((0.7*B149+0.29*B148+0.01*B147)^(F$20)))</f>
        <v>21.689107607697803</v>
      </c>
      <c r="F149" s="16">
        <f t="shared" ref="F149:F158" si="52">S149*(($Z$71^U149)*(((0.7*B149)+(0.29*B148)+(0.01*B147))^(T149)))</f>
        <v>6.6498426739035681</v>
      </c>
      <c r="G149" s="26">
        <f>(5.01*(B149^0.59)*Z$71)/(86.4*I$16)</f>
        <v>17.101525371145421</v>
      </c>
      <c r="H149" s="42">
        <f>L$32^(J149-(0.6458446*LN(P$36))-(9.53942*N149*(P$36/P$35))+(4.8904*N149))</f>
        <v>27.259685074172694</v>
      </c>
      <c r="I149" s="42">
        <f t="shared" si="49"/>
        <v>11.36020115781073</v>
      </c>
      <c r="J149" s="87">
        <v>4.7</v>
      </c>
      <c r="K149" s="56"/>
      <c r="L149" s="58"/>
      <c r="M149" s="83">
        <f t="shared" si="48"/>
        <v>88.030254713927604</v>
      </c>
      <c r="N149" s="10">
        <f t="shared" si="50"/>
        <v>0.67507864044423005</v>
      </c>
      <c r="O149" s="83"/>
      <c r="P149" s="83"/>
      <c r="Q149" s="89">
        <v>130.4</v>
      </c>
      <c r="R149" s="89"/>
      <c r="S149" s="10">
        <v>6.7400000000000003E-3</v>
      </c>
      <c r="T149" s="10">
        <v>0.47</v>
      </c>
      <c r="U149" s="10">
        <v>0.72</v>
      </c>
      <c r="V149" s="5"/>
    </row>
    <row r="150" spans="1:22" x14ac:dyDescent="0.25">
      <c r="A150" s="82" t="s">
        <v>3</v>
      </c>
      <c r="B150" s="31">
        <v>142.9</v>
      </c>
      <c r="C150" s="10">
        <v>6.4999999999999997E-3</v>
      </c>
      <c r="D150" s="1">
        <v>14584</v>
      </c>
      <c r="E150" s="16">
        <f t="shared" si="51"/>
        <v>16.880122998582554</v>
      </c>
      <c r="F150" s="16">
        <f t="shared" si="52"/>
        <v>6.9124719623987314</v>
      </c>
      <c r="G150" s="26">
        <f>(5.01*(B150^0.59)*Z$71)/(86.4*I$17)</f>
        <v>15.05001493990029</v>
      </c>
      <c r="H150" s="42">
        <f>L$32^(J150-(0.6458446*LN(P$36))-(9.53942*N150*(P$36/P$35))+(4.8904*N150))</f>
        <v>24.546698972821044</v>
      </c>
      <c r="I150" s="42">
        <f>((L$32^(J150-(0.6458446*LN(P$36))-(9.53942*N150*(P$36/P$35))+(4.8904*N150)))/1000)*$Z$71</f>
        <v>10.229591329933442</v>
      </c>
      <c r="J150" s="87">
        <v>4.7</v>
      </c>
      <c r="K150" s="56"/>
      <c r="L150" s="56"/>
      <c r="M150" s="83">
        <f t="shared" si="48"/>
        <v>43.330254713927616</v>
      </c>
      <c r="N150" s="10">
        <f t="shared" si="50"/>
        <v>0.3385176149525595</v>
      </c>
      <c r="O150" s="83"/>
      <c r="P150" s="83"/>
      <c r="Q150" s="89">
        <v>128</v>
      </c>
      <c r="R150" s="89"/>
      <c r="S150" s="10">
        <v>6.5500000000000003E-3</v>
      </c>
      <c r="T150" s="10">
        <v>0.49</v>
      </c>
      <c r="U150" s="10">
        <v>0.74299999999999999</v>
      </c>
      <c r="V150" s="5"/>
    </row>
    <row r="151" spans="1:22" x14ac:dyDescent="0.25">
      <c r="A151" s="82" t="s">
        <v>4</v>
      </c>
      <c r="B151" s="31">
        <v>55.7</v>
      </c>
      <c r="C151" s="10">
        <v>5.7000000000000002E-3</v>
      </c>
      <c r="D151" s="1">
        <v>8824</v>
      </c>
      <c r="E151" s="16">
        <f t="shared" si="51"/>
        <v>10.023723285532608</v>
      </c>
      <c r="F151" s="16">
        <f t="shared" si="52"/>
        <v>2.1800400071090738</v>
      </c>
      <c r="G151" s="26">
        <f>(5.01*(B151^0.59)*Z$71)/(86.4*I$18)</f>
        <v>8.3537609249673697</v>
      </c>
      <c r="H151" s="42">
        <f t="shared" ref="H151:H158" si="53">L$32^(J151-(0.6458446*LN(P$36))-(9.53942*N151*(P$36/P$35))+(4.8904*N151))</f>
        <v>19.778241692375918</v>
      </c>
      <c r="I151" s="42">
        <f t="shared" si="49"/>
        <v>8.2423844428807413</v>
      </c>
      <c r="J151" s="87">
        <v>4.7</v>
      </c>
      <c r="K151" s="56"/>
      <c r="L151" s="56"/>
      <c r="M151" s="83">
        <f t="shared" si="48"/>
        <v>-43.869745286072387</v>
      </c>
      <c r="N151" s="10">
        <f t="shared" si="50"/>
        <v>-0.35493321428861158</v>
      </c>
      <c r="O151" s="59"/>
      <c r="P151" s="59"/>
      <c r="Q151" s="89">
        <v>123.6</v>
      </c>
      <c r="R151" s="89"/>
      <c r="S151" s="10">
        <v>5.4749999999999998E-3</v>
      </c>
      <c r="T151" s="10">
        <v>0.4</v>
      </c>
      <c r="U151" s="10">
        <v>0.7</v>
      </c>
      <c r="V151" s="5"/>
    </row>
    <row r="152" spans="1:22" x14ac:dyDescent="0.25">
      <c r="A152" s="82" t="s">
        <v>5</v>
      </c>
      <c r="B152" s="31">
        <v>7.2</v>
      </c>
      <c r="C152" s="10">
        <v>4.1999999999999997E-3</v>
      </c>
      <c r="D152" s="10">
        <v>3.11</v>
      </c>
      <c r="E152" s="16">
        <f t="shared" si="51"/>
        <v>3.4029850342091632</v>
      </c>
      <c r="F152" s="16">
        <f t="shared" si="52"/>
        <v>1.2547243350298303</v>
      </c>
      <c r="G152" s="26">
        <f>(5.01*(B152^0.59)*Z$71)/(86.4*I$19)</f>
        <v>2.5816305337035534</v>
      </c>
      <c r="H152" s="42">
        <f t="shared" si="53"/>
        <v>7.6322748943873302</v>
      </c>
      <c r="I152" s="42">
        <f t="shared" si="49"/>
        <v>3.1806742394869763</v>
      </c>
      <c r="J152" s="87">
        <v>3.9</v>
      </c>
      <c r="K152" s="56"/>
      <c r="L152" s="56"/>
      <c r="M152" s="83">
        <f t="shared" si="48"/>
        <v>-92.369745286072387</v>
      </c>
      <c r="N152" s="10">
        <f t="shared" si="50"/>
        <v>-0.84355931768102632</v>
      </c>
      <c r="O152" s="59"/>
      <c r="P152" s="59"/>
      <c r="Q152" s="89">
        <v>109.5</v>
      </c>
      <c r="R152" s="89"/>
      <c r="S152" s="10">
        <v>4.1200000000000004E-3</v>
      </c>
      <c r="T152" s="10">
        <v>0.441</v>
      </c>
      <c r="U152" s="10">
        <v>0.72</v>
      </c>
      <c r="V152" s="5"/>
    </row>
    <row r="153" spans="1:22" x14ac:dyDescent="0.25">
      <c r="A153" s="82" t="s">
        <v>6</v>
      </c>
      <c r="B153" s="31">
        <v>1.4</v>
      </c>
      <c r="C153" s="10">
        <v>4.0000000000000001E-3</v>
      </c>
      <c r="D153" s="1">
        <v>1041</v>
      </c>
      <c r="E153" s="16">
        <f t="shared" si="51"/>
        <v>1.0802815223768767</v>
      </c>
      <c r="F153" s="16">
        <f t="shared" si="52"/>
        <v>0.85880696621771369</v>
      </c>
      <c r="G153" s="26">
        <f>(5.01*(B153^0.59)*Z$71)/(86.4*I$20)</f>
        <v>0.9506989581924602</v>
      </c>
      <c r="H153" s="42">
        <f t="shared" si="53"/>
        <v>1.6574825525275843</v>
      </c>
      <c r="I153" s="42">
        <f t="shared" si="49"/>
        <v>0.69073927894034548</v>
      </c>
      <c r="J153" s="87">
        <v>2.4</v>
      </c>
      <c r="K153" s="56"/>
      <c r="L153" s="56"/>
      <c r="M153" s="83">
        <f t="shared" si="48"/>
        <v>-98.169745286072384</v>
      </c>
      <c r="N153" s="10">
        <f t="shared" si="50"/>
        <v>-0.93051891266419318</v>
      </c>
      <c r="O153" s="59"/>
      <c r="P153" s="59"/>
      <c r="Q153" s="89">
        <v>105.5</v>
      </c>
      <c r="R153" s="89"/>
      <c r="S153" s="10">
        <v>4.0419999999999996E-3</v>
      </c>
      <c r="T153" s="10">
        <v>0.48399999999999999</v>
      </c>
      <c r="U153" s="10">
        <v>0.78500000000000003</v>
      </c>
      <c r="V153" s="5"/>
    </row>
    <row r="154" spans="1:22" x14ac:dyDescent="0.25">
      <c r="A154" s="82" t="s">
        <v>7</v>
      </c>
      <c r="B154" s="31">
        <v>0.3</v>
      </c>
      <c r="C154" s="10">
        <v>4.0000000000000001E-3</v>
      </c>
      <c r="D154" s="10">
        <v>0.40300000000000002</v>
      </c>
      <c r="E154" s="16">
        <f t="shared" si="51"/>
        <v>0.39857054838485872</v>
      </c>
      <c r="F154" s="16">
        <f t="shared" si="52"/>
        <v>0.92030450481204618</v>
      </c>
      <c r="G154" s="26">
        <f>(5.01*(B154^0.59)*Z$71)/(86.4*I$21)</f>
        <v>0.3831148774666619</v>
      </c>
      <c r="H154" s="42">
        <f t="shared" si="53"/>
        <v>0.44873635825854269</v>
      </c>
      <c r="I154" s="42">
        <f t="shared" si="49"/>
        <v>0.1870063899406651</v>
      </c>
      <c r="J154" s="87">
        <v>1.1000000000000001</v>
      </c>
      <c r="K154" s="56"/>
      <c r="L154" s="56"/>
      <c r="M154" s="83">
        <f t="shared" si="48"/>
        <v>-99.269745286072393</v>
      </c>
      <c r="N154" s="10">
        <f t="shared" si="50"/>
        <v>-0.9517712874982972</v>
      </c>
      <c r="O154" s="60"/>
      <c r="P154" s="59"/>
      <c r="Q154" s="89">
        <v>104.3</v>
      </c>
      <c r="R154" s="89"/>
      <c r="S154" s="10">
        <v>6.0800000000000003E-3</v>
      </c>
      <c r="T154" s="10">
        <v>0.59499999999999997</v>
      </c>
      <c r="U154" s="10">
        <v>0.86899999999999999</v>
      </c>
      <c r="V154" s="5"/>
    </row>
    <row r="155" spans="1:22" x14ac:dyDescent="0.25">
      <c r="A155" s="82" t="s">
        <v>8</v>
      </c>
      <c r="B155" s="31">
        <v>19.399999999999999</v>
      </c>
      <c r="C155" s="10">
        <v>5.0000000000000001E-3</v>
      </c>
      <c r="D155" s="1">
        <v>2778</v>
      </c>
      <c r="E155" s="16">
        <f t="shared" si="51"/>
        <v>2.9959382652800204</v>
      </c>
      <c r="F155" s="16">
        <f t="shared" si="52"/>
        <v>0.70920288507108609</v>
      </c>
      <c r="G155" s="26">
        <f>(5.01*(B155^0.59)*Z$71)/(86.4*I$22)</f>
        <v>4.6330921342043574</v>
      </c>
      <c r="H155" s="42">
        <f t="shared" si="53"/>
        <v>0.47194885169334305</v>
      </c>
      <c r="I155" s="42">
        <f t="shared" si="49"/>
        <v>0.19667996445468378</v>
      </c>
      <c r="J155" s="87">
        <v>1.1000000000000001</v>
      </c>
      <c r="K155" s="56"/>
      <c r="L155" s="56"/>
      <c r="M155" s="83">
        <f t="shared" si="48"/>
        <v>-80.169745286072384</v>
      </c>
      <c r="N155" s="10">
        <f t="shared" si="50"/>
        <v>-0.7898497072519447</v>
      </c>
      <c r="O155" s="59"/>
      <c r="P155" s="59"/>
      <c r="Q155" s="89">
        <v>101.5</v>
      </c>
      <c r="R155" s="89"/>
      <c r="S155" s="10">
        <v>4.4200000000000003E-3</v>
      </c>
      <c r="T155" s="10">
        <v>0.35</v>
      </c>
      <c r="U155" s="10">
        <v>0.69</v>
      </c>
      <c r="V155" s="5"/>
    </row>
    <row r="156" spans="1:22" ht="18.75" x14ac:dyDescent="0.3">
      <c r="A156" s="82" t="s">
        <v>9</v>
      </c>
      <c r="B156" s="31">
        <v>6.8</v>
      </c>
      <c r="C156" s="10">
        <v>4.1000000000000003E-3</v>
      </c>
      <c r="D156" s="1">
        <v>1946</v>
      </c>
      <c r="E156" s="16">
        <f t="shared" si="51"/>
        <v>2.0826690080550216</v>
      </c>
      <c r="F156" s="16">
        <f t="shared" si="52"/>
        <v>0.80870630498788887</v>
      </c>
      <c r="G156" s="26">
        <f>(5.01*(B156^0.59)*Z$71)/(86.4*I$23)</f>
        <v>2.4155038578434525</v>
      </c>
      <c r="H156" s="42">
        <f t="shared" si="53"/>
        <v>1.6969219309397432</v>
      </c>
      <c r="I156" s="42">
        <f>((L$32^(J156-(0.6458446*LN(P$36))-(9.53942*N156*(P$36/P$35))+(4.8904*N156)))/1000)*$Z$71</f>
        <v>0.70717524549982858</v>
      </c>
      <c r="J156" s="87">
        <v>2.4</v>
      </c>
      <c r="K156" s="56"/>
      <c r="L156" s="56"/>
      <c r="M156" s="83">
        <f t="shared" si="48"/>
        <v>-92.769745286072393</v>
      </c>
      <c r="N156" s="10">
        <f t="shared" si="50"/>
        <v>-0.85502069388085156</v>
      </c>
      <c r="O156" s="61"/>
      <c r="P156" s="62"/>
      <c r="Q156" s="89">
        <v>108.5</v>
      </c>
      <c r="R156" s="89"/>
      <c r="S156" s="10">
        <v>4.1099999999999999E-3</v>
      </c>
      <c r="T156" s="10">
        <v>0.40100000000000002</v>
      </c>
      <c r="U156" s="10">
        <v>0.72</v>
      </c>
      <c r="V156" s="5"/>
    </row>
    <row r="157" spans="1:22" x14ac:dyDescent="0.25">
      <c r="A157" s="82" t="s">
        <v>10</v>
      </c>
      <c r="B157" s="31">
        <v>0.2</v>
      </c>
      <c r="C157" s="10">
        <v>4.0000000000000001E-3</v>
      </c>
      <c r="D157" s="10">
        <v>0.80400000000000005</v>
      </c>
      <c r="E157" s="16">
        <f t="shared" si="51"/>
        <v>0.82350781136602835</v>
      </c>
      <c r="F157" s="16">
        <f t="shared" si="52"/>
        <v>0.78798151570609321</v>
      </c>
      <c r="G157" s="26">
        <f>(5.01*(B157^0.59)*Z$71)/(86.4*I$24)</f>
        <v>0.31165608694477714</v>
      </c>
      <c r="H157" s="42">
        <f t="shared" si="53"/>
        <v>7.5291602786861924</v>
      </c>
      <c r="I157" s="42">
        <f t="shared" si="49"/>
        <v>3.137702254539684</v>
      </c>
      <c r="J157" s="87">
        <v>3.9</v>
      </c>
      <c r="K157" s="56"/>
      <c r="L157" s="56"/>
      <c r="M157" s="83">
        <f t="shared" si="48"/>
        <v>-99.369745286072387</v>
      </c>
      <c r="N157" s="10">
        <f t="shared" si="50"/>
        <v>-0.88722986862564635</v>
      </c>
      <c r="O157" s="10"/>
      <c r="P157" s="83"/>
      <c r="Q157" s="89">
        <v>112</v>
      </c>
      <c r="R157" s="89"/>
      <c r="S157" s="10">
        <v>4.0000000000000001E-3</v>
      </c>
      <c r="T157" s="10">
        <v>0.54</v>
      </c>
      <c r="U157" s="10">
        <v>0.80100000000000005</v>
      </c>
      <c r="V157" s="5"/>
    </row>
    <row r="158" spans="1:22" x14ac:dyDescent="0.25">
      <c r="A158" s="82" t="s">
        <v>11</v>
      </c>
      <c r="B158" s="31">
        <v>9.3000000000000007</v>
      </c>
      <c r="C158" s="10">
        <v>4.3E-3</v>
      </c>
      <c r="D158" s="10">
        <v>1.58</v>
      </c>
      <c r="E158" s="16">
        <f t="shared" si="51"/>
        <v>1.6691848408829801</v>
      </c>
      <c r="F158" s="16">
        <f t="shared" si="52"/>
        <v>0.72561857402166008</v>
      </c>
      <c r="G158" s="26">
        <f>(5.01*(B158^0.59)*Z$71)/(86.4*I$25)</f>
        <v>2.9055771841932385</v>
      </c>
      <c r="H158" s="42">
        <f t="shared" si="53"/>
        <v>7.878208283724681</v>
      </c>
      <c r="I158" s="42">
        <f t="shared" si="49"/>
        <v>3.2831645201594233</v>
      </c>
      <c r="J158" s="87">
        <v>3.9</v>
      </c>
      <c r="K158" s="56"/>
      <c r="L158" s="56"/>
      <c r="M158" s="83">
        <f t="shared" si="48"/>
        <v>-90.269745286072393</v>
      </c>
      <c r="N158" s="10">
        <f t="shared" si="50"/>
        <v>-0.74173989553058661</v>
      </c>
      <c r="O158" s="83"/>
      <c r="P158" s="83"/>
      <c r="Q158" s="89">
        <v>121.7</v>
      </c>
      <c r="R158" s="89"/>
      <c r="S158" s="10">
        <v>4.3E-3</v>
      </c>
      <c r="T158" s="10">
        <v>0.41799999999999998</v>
      </c>
      <c r="U158" s="10">
        <v>0.71899999999999997</v>
      </c>
      <c r="V158" s="5"/>
    </row>
    <row r="159" spans="1:22" x14ac:dyDescent="0.25">
      <c r="A159" s="82" t="s">
        <v>12</v>
      </c>
      <c r="B159" s="12">
        <v>1990</v>
      </c>
      <c r="C159" s="12">
        <v>1990</v>
      </c>
      <c r="D159" s="12">
        <v>1990</v>
      </c>
      <c r="E159" s="12">
        <v>1990</v>
      </c>
      <c r="F159" s="12">
        <v>1990</v>
      </c>
      <c r="G159" s="12">
        <v>1990</v>
      </c>
      <c r="H159" s="12">
        <v>1990</v>
      </c>
      <c r="I159" s="12">
        <v>1990</v>
      </c>
      <c r="J159" s="47" t="s">
        <v>70</v>
      </c>
      <c r="K159" s="27"/>
      <c r="L159" s="27"/>
      <c r="M159" s="39" t="s">
        <v>60</v>
      </c>
      <c r="N159" s="39" t="s">
        <v>73</v>
      </c>
      <c r="O159" s="105" t="s">
        <v>57</v>
      </c>
      <c r="P159" s="105"/>
      <c r="Q159" s="10"/>
      <c r="R159" s="10"/>
    </row>
    <row r="160" spans="1:22" x14ac:dyDescent="0.25">
      <c r="A160" s="82" t="s">
        <v>0</v>
      </c>
      <c r="B160" s="31">
        <v>88</v>
      </c>
      <c r="C160" s="10"/>
      <c r="D160" s="1">
        <v>8202</v>
      </c>
      <c r="E160" s="16"/>
      <c r="F160" s="16"/>
      <c r="G160" s="26">
        <f>(5.01*(B160^0.59)*Z$71)/(86.4*I$14)</f>
        <v>10.941383827856773</v>
      </c>
      <c r="H160" s="42">
        <f>L$32^(J160-(0.6458446*LN(P$36))-(9.53942*N160*(P$36/P$35))+(4.8904*N160))</f>
        <v>24.882115245566041</v>
      </c>
      <c r="I160" s="42">
        <f>((L$32^(J160-(0.6458446*LN(P$36))-(9.53942*N160*(P$36/P$35))+(4.8904*N160)))/1000)*$Z$71</f>
        <v>10.369372707437192</v>
      </c>
      <c r="J160" s="87">
        <v>4.7</v>
      </c>
      <c r="K160" s="56"/>
      <c r="L160" s="56"/>
      <c r="M160" s="83">
        <f t="shared" ref="M160:M171" si="54">(B160-(0.74*P$161))</f>
        <v>48.334401886559561</v>
      </c>
      <c r="N160" s="10">
        <f>M160/Q160</f>
        <v>0.3820901334905894</v>
      </c>
      <c r="O160" s="50" t="s">
        <v>58</v>
      </c>
      <c r="P160" s="83">
        <f>(B160+B161+B162+B163+B164+B165+B166+B167+B168+B169+B170+B171)/12</f>
        <v>43.266666666666673</v>
      </c>
      <c r="Q160" s="89">
        <v>126.5</v>
      </c>
      <c r="R160" s="89"/>
    </row>
    <row r="161" spans="1:18" x14ac:dyDescent="0.25">
      <c r="A161" s="82" t="s">
        <v>1</v>
      </c>
      <c r="B161" s="31">
        <v>117.7</v>
      </c>
      <c r="C161" s="10"/>
      <c r="D161" s="1">
        <v>11571</v>
      </c>
      <c r="E161" s="16"/>
      <c r="F161" s="16"/>
      <c r="G161" s="26">
        <f>(5.01*(B161^0.59)*Z$71)/(86.4*J$15)</f>
        <v>13.885108763028594</v>
      </c>
      <c r="H161" s="42">
        <f>L$32^(J161-(0.6458446*LN(P$36))-(9.53942*N161*(P$36/P$35))+(4.8904*N161))</f>
        <v>27.309400046504027</v>
      </c>
      <c r="I161" s="42">
        <f t="shared" ref="I161:I171" si="55">((L$32^(J161-(0.6458446*LN(P$36))-(9.53942*N161*(P$36/P$35))+(4.8904*N161)))/1000)*$Z$71</f>
        <v>11.380919375380088</v>
      </c>
      <c r="J161" s="87">
        <v>4.7</v>
      </c>
      <c r="K161" s="56"/>
      <c r="L161" s="56"/>
      <c r="M161" s="83">
        <f t="shared" si="54"/>
        <v>78.034401886559564</v>
      </c>
      <c r="N161" s="10">
        <f t="shared" ref="N161:N171" si="56">M161/Q161</f>
        <v>0.68092846323350409</v>
      </c>
      <c r="O161" s="50" t="s">
        <v>66</v>
      </c>
      <c r="P161" s="83">
        <f>((((B160-P160)^2+(B161-P160)^2+(B162-P160)^2+(B163-P160)^2+(B164-P160)^2+(B165-P160)^2+(B166-P160)^2+(B167-P160)^2+(B168-P160)^2+(B169-P160)^2+(B170-P160)^2+(B171-P160)^2))/(12-1))^0.5</f>
        <v>53.602159612757355</v>
      </c>
      <c r="Q161" s="89">
        <v>114.6</v>
      </c>
      <c r="R161" s="89"/>
    </row>
    <row r="162" spans="1:18" x14ac:dyDescent="0.25">
      <c r="A162" s="82" t="s">
        <v>2</v>
      </c>
      <c r="B162" s="31">
        <v>140.1</v>
      </c>
      <c r="C162" s="10"/>
      <c r="D162" s="1">
        <v>13037</v>
      </c>
      <c r="E162" s="16"/>
      <c r="F162" s="16"/>
      <c r="G162" s="26">
        <f>(5.01*(B162^0.59)*Z$71)/(86.4*I$16)</f>
        <v>14.39547424175705</v>
      </c>
      <c r="H162" s="42">
        <f>L$32^(J162-(0.6458446*LN(P$36))-(9.53942*N162*(P$36/P$35))+(4.8904*N162))</f>
        <v>28.079447169861435</v>
      </c>
      <c r="I162" s="42">
        <f t="shared" si="55"/>
        <v>11.701828813568055</v>
      </c>
      <c r="J162" s="87">
        <v>4.7</v>
      </c>
      <c r="K162" s="56"/>
      <c r="L162" s="58"/>
      <c r="M162" s="83">
        <f t="shared" si="54"/>
        <v>100.43440188655956</v>
      </c>
      <c r="N162" s="10">
        <f t="shared" si="56"/>
        <v>0.77020246845521123</v>
      </c>
      <c r="O162" s="83"/>
      <c r="P162" s="83"/>
      <c r="Q162" s="89">
        <v>130.4</v>
      </c>
      <c r="R162" s="89"/>
    </row>
    <row r="163" spans="1:18" x14ac:dyDescent="0.25">
      <c r="A163" s="82" t="s">
        <v>3</v>
      </c>
      <c r="B163" s="31">
        <v>105.5</v>
      </c>
      <c r="C163" s="10"/>
      <c r="D163" s="1">
        <v>11657</v>
      </c>
      <c r="E163" s="16"/>
      <c r="F163" s="16"/>
      <c r="G163" s="26">
        <f>(5.01*(B163^0.59)*Z$71)/(86.4*I$17)</f>
        <v>12.583077377853018</v>
      </c>
      <c r="H163" s="42">
        <f>L$32^(J163-(0.6458446*LN(P$36))-(9.53942*N163*(P$36/P$35))+(4.8904*N163))</f>
        <v>25.928416725992118</v>
      </c>
      <c r="I163" s="42">
        <f>((L$32^(J163-(0.6458446*LN(P$36))-(9.53942*N163*(P$36/P$35))+(4.8904*N163)))/1000)*$Z$71</f>
        <v>10.805408386389956</v>
      </c>
      <c r="J163" s="87">
        <v>4.7</v>
      </c>
      <c r="K163" s="56"/>
      <c r="L163" s="56"/>
      <c r="M163" s="83">
        <f t="shared" si="54"/>
        <v>65.834401886559561</v>
      </c>
      <c r="N163" s="10">
        <f t="shared" si="56"/>
        <v>0.51433126473874657</v>
      </c>
      <c r="O163" s="83"/>
      <c r="P163" s="83"/>
      <c r="Q163" s="89">
        <v>128</v>
      </c>
      <c r="R163" s="89"/>
    </row>
    <row r="164" spans="1:18" x14ac:dyDescent="0.25">
      <c r="A164" s="82" t="s">
        <v>4</v>
      </c>
      <c r="B164" s="31">
        <v>15.1</v>
      </c>
      <c r="C164" s="10"/>
      <c r="D164" s="10">
        <v>4.78</v>
      </c>
      <c r="E164" s="16"/>
      <c r="F164" s="16"/>
      <c r="G164" s="26">
        <f>(5.01*(B164^0.59)*Z$71)/(86.4*I$18)</f>
        <v>3.8674425925435818</v>
      </c>
      <c r="H164" s="42">
        <f t="shared" ref="H164:H171" si="57">L$32^(J164-(0.6458446*LN(P$36))-(9.53942*N164*(P$36/P$35))+(4.8904*N164))</f>
        <v>20.764190230556327</v>
      </c>
      <c r="I164" s="42">
        <f t="shared" si="55"/>
        <v>8.6532686366820428</v>
      </c>
      <c r="J164" s="87">
        <v>4.7</v>
      </c>
      <c r="K164" s="56"/>
      <c r="L164" s="56"/>
      <c r="M164" s="83">
        <f t="shared" si="54"/>
        <v>-24.565598113440437</v>
      </c>
      <c r="N164" s="10">
        <f t="shared" si="56"/>
        <v>-0.19875079379806179</v>
      </c>
      <c r="O164" s="59"/>
      <c r="P164" s="59"/>
      <c r="Q164" s="89">
        <v>123.6</v>
      </c>
      <c r="R164" s="89"/>
    </row>
    <row r="165" spans="1:18" x14ac:dyDescent="0.25">
      <c r="A165" s="82" t="s">
        <v>5</v>
      </c>
      <c r="B165" s="31">
        <v>15.1</v>
      </c>
      <c r="C165" s="10"/>
      <c r="D165" s="1">
        <v>2856</v>
      </c>
      <c r="E165" s="16"/>
      <c r="F165" s="16"/>
      <c r="G165" s="26">
        <f>(5.01*(B165^0.59)*Z$71)/(86.4*I$19)</f>
        <v>3.9963573456283679</v>
      </c>
      <c r="H165" s="42">
        <f t="shared" si="57"/>
        <v>9.255873725559967</v>
      </c>
      <c r="I165" s="42">
        <f t="shared" si="55"/>
        <v>3.8572928163898608</v>
      </c>
      <c r="J165" s="87">
        <v>3.9</v>
      </c>
      <c r="K165" s="56"/>
      <c r="L165" s="56"/>
      <c r="M165" s="83">
        <f t="shared" si="54"/>
        <v>-24.565598113440437</v>
      </c>
      <c r="N165" s="10">
        <f t="shared" si="56"/>
        <v>-0.22434336176657935</v>
      </c>
      <c r="O165" s="59"/>
      <c r="P165" s="59"/>
      <c r="Q165" s="89">
        <v>109.5</v>
      </c>
      <c r="R165" s="89"/>
    </row>
    <row r="166" spans="1:18" x14ac:dyDescent="0.25">
      <c r="A166" s="82" t="s">
        <v>6</v>
      </c>
      <c r="B166" s="31">
        <v>2.1</v>
      </c>
      <c r="C166" s="10"/>
      <c r="D166" s="1">
        <v>1388</v>
      </c>
      <c r="E166" s="16"/>
      <c r="F166" s="16"/>
      <c r="G166" s="26">
        <f>(5.01*(B166^0.59)*Z$71)/(86.4*I$20)</f>
        <v>1.2076382519196438</v>
      </c>
      <c r="H166" s="42">
        <f t="shared" si="57"/>
        <v>1.9822403910177149</v>
      </c>
      <c r="I166" s="42">
        <f t="shared" si="55"/>
        <v>0.8260788605527225</v>
      </c>
      <c r="J166" s="87">
        <v>2.4</v>
      </c>
      <c r="K166" s="56"/>
      <c r="L166" s="56"/>
      <c r="M166" s="83">
        <f t="shared" si="54"/>
        <v>-37.565598113440437</v>
      </c>
      <c r="N166" s="10">
        <f t="shared" si="56"/>
        <v>-0.35607202003261079</v>
      </c>
      <c r="O166" s="59"/>
      <c r="P166" s="59"/>
      <c r="Q166" s="89">
        <v>105.5</v>
      </c>
      <c r="R166" s="89"/>
    </row>
    <row r="167" spans="1:18" x14ac:dyDescent="0.25">
      <c r="A167" s="82" t="s">
        <v>7</v>
      </c>
      <c r="B167" s="31">
        <v>0</v>
      </c>
      <c r="C167" s="10"/>
      <c r="D167" s="10">
        <v>0.874</v>
      </c>
      <c r="E167" s="16"/>
      <c r="F167" s="16"/>
      <c r="G167" s="26">
        <f>(5.01*(B167^0.59)*Z$71)/(86.4*I$21)</f>
        <v>0</v>
      </c>
      <c r="H167" s="42">
        <f t="shared" si="57"/>
        <v>0.53616158599724495</v>
      </c>
      <c r="I167" s="42">
        <f t="shared" si="55"/>
        <v>0.22343997934849186</v>
      </c>
      <c r="J167" s="87">
        <v>1.1000000000000001</v>
      </c>
      <c r="K167" s="56"/>
      <c r="L167" s="56"/>
      <c r="M167" s="83">
        <f t="shared" si="54"/>
        <v>-39.665598113440439</v>
      </c>
      <c r="N167" s="10">
        <f t="shared" si="56"/>
        <v>-0.38030295410777026</v>
      </c>
      <c r="O167" s="60"/>
      <c r="P167" s="59"/>
      <c r="Q167" s="89">
        <v>104.3</v>
      </c>
      <c r="R167" s="89"/>
    </row>
    <row r="168" spans="1:18" x14ac:dyDescent="0.25">
      <c r="A168" s="82" t="s">
        <v>8</v>
      </c>
      <c r="B168" s="31">
        <v>0.1</v>
      </c>
      <c r="C168" s="10"/>
      <c r="D168" s="10">
        <v>0.127</v>
      </c>
      <c r="E168" s="16"/>
      <c r="F168" s="16"/>
      <c r="G168" s="26">
        <f>(5.01*(B168^0.59)*Z$71)/(86.4*I$22)</f>
        <v>0.20704651080017727</v>
      </c>
      <c r="H168" s="42">
        <f t="shared" si="57"/>
        <v>0.53457642337663946</v>
      </c>
      <c r="I168" s="42">
        <f t="shared" si="55"/>
        <v>0.22277937867798073</v>
      </c>
      <c r="J168" s="87">
        <v>1.1000000000000001</v>
      </c>
      <c r="K168" s="56"/>
      <c r="L168" s="56"/>
      <c r="M168" s="83">
        <f t="shared" si="54"/>
        <v>-39.565598113440437</v>
      </c>
      <c r="N168" s="10">
        <f t="shared" si="56"/>
        <v>-0.38980884840828017</v>
      </c>
      <c r="O168" s="59"/>
      <c r="P168" s="59"/>
      <c r="Q168" s="89">
        <v>101.5</v>
      </c>
      <c r="R168" s="89"/>
    </row>
    <row r="169" spans="1:18" ht="18.75" x14ac:dyDescent="0.3">
      <c r="A169" s="82" t="s">
        <v>9</v>
      </c>
      <c r="B169" s="31">
        <v>0.1</v>
      </c>
      <c r="C169" s="10"/>
      <c r="D169" s="10">
        <v>0.13300000000000001</v>
      </c>
      <c r="E169" s="16"/>
      <c r="F169" s="16"/>
      <c r="G169" s="26">
        <f>(5.01*(B169^0.59)*Z$71)/(86.4*I$23)</f>
        <v>0.20036759109694574</v>
      </c>
      <c r="H169" s="42">
        <f t="shared" si="57"/>
        <v>1.976945109992436</v>
      </c>
      <c r="I169" s="42">
        <f>((L$32^(J169-(0.6458446*LN(P$36))-(9.53942*N169*(P$36/P$35))+(4.8904*N169)))/1000)*$Z$71</f>
        <v>0.82387210513824782</v>
      </c>
      <c r="J169" s="87">
        <v>2.4</v>
      </c>
      <c r="K169" s="56"/>
      <c r="L169" s="56"/>
      <c r="M169" s="83">
        <f t="shared" si="54"/>
        <v>-39.565598113440437</v>
      </c>
      <c r="N169" s="10">
        <f t="shared" si="56"/>
        <v>-0.36465989044645564</v>
      </c>
      <c r="O169" s="61"/>
      <c r="P169" s="62"/>
      <c r="Q169" s="89">
        <v>108.5</v>
      </c>
      <c r="R169" s="89"/>
    </row>
    <row r="170" spans="1:18" x14ac:dyDescent="0.25">
      <c r="A170" s="82" t="s">
        <v>10</v>
      </c>
      <c r="B170" s="31">
        <v>0</v>
      </c>
      <c r="C170" s="10"/>
      <c r="D170" s="10">
        <v>6.7000000000000004E-2</v>
      </c>
      <c r="E170" s="16"/>
      <c r="F170" s="16"/>
      <c r="G170" s="26">
        <f>(5.01*(B170^0.59)*Z$71)/(86.4*I$24)</f>
        <v>0</v>
      </c>
      <c r="H170" s="42">
        <f t="shared" si="57"/>
        <v>8.8890853926927225</v>
      </c>
      <c r="I170" s="42">
        <f t="shared" si="55"/>
        <v>3.7044374465507648</v>
      </c>
      <c r="J170" s="87">
        <v>3.9</v>
      </c>
      <c r="K170" s="56"/>
      <c r="L170" s="56"/>
      <c r="M170" s="83">
        <f t="shared" si="54"/>
        <v>-39.665598113440439</v>
      </c>
      <c r="N170" s="10">
        <f t="shared" si="56"/>
        <v>-0.35415712601286103</v>
      </c>
      <c r="O170" s="62"/>
      <c r="P170" s="59"/>
      <c r="Q170" s="89">
        <v>112</v>
      </c>
      <c r="R170" s="89"/>
    </row>
    <row r="171" spans="1:18" x14ac:dyDescent="0.25">
      <c r="A171" s="82" t="s">
        <v>11</v>
      </c>
      <c r="B171" s="31">
        <v>35.4</v>
      </c>
      <c r="C171" s="10"/>
      <c r="D171" s="1">
        <v>4134</v>
      </c>
      <c r="E171" s="16"/>
      <c r="F171" s="16"/>
      <c r="G171" s="26">
        <f>(5.01*(B171^0.59)*Z$71)/(86.4*I$25)</f>
        <v>6.3935107766179229</v>
      </c>
      <c r="H171" s="42">
        <f t="shared" si="57"/>
        <v>9.8180164119002438</v>
      </c>
      <c r="I171" s="42">
        <f t="shared" si="55"/>
        <v>4.0915601594953079</v>
      </c>
      <c r="J171" s="87">
        <v>3.9</v>
      </c>
      <c r="K171" s="56"/>
      <c r="L171" s="56"/>
      <c r="M171" s="83">
        <f t="shared" si="54"/>
        <v>-4.2655981134404399</v>
      </c>
      <c r="N171" s="10">
        <f t="shared" si="56"/>
        <v>-3.5050107752181099E-2</v>
      </c>
      <c r="O171" s="83"/>
      <c r="P171" s="83"/>
      <c r="Q171" s="89">
        <v>121.7</v>
      </c>
      <c r="R171" s="89"/>
    </row>
    <row r="172" spans="1:18" x14ac:dyDescent="0.25">
      <c r="A172" s="82" t="s">
        <v>12</v>
      </c>
      <c r="B172" s="12">
        <v>1991</v>
      </c>
      <c r="C172" s="12">
        <v>1991</v>
      </c>
      <c r="D172" s="87">
        <v>1991</v>
      </c>
      <c r="E172" s="87">
        <v>1991</v>
      </c>
      <c r="F172" s="87">
        <v>1991</v>
      </c>
      <c r="G172" s="87">
        <v>1991</v>
      </c>
      <c r="H172" s="87">
        <v>1991</v>
      </c>
      <c r="I172" s="87">
        <v>1991</v>
      </c>
      <c r="J172" s="47" t="s">
        <v>70</v>
      </c>
      <c r="K172" s="27"/>
      <c r="L172" s="27"/>
      <c r="M172" s="39" t="s">
        <v>60</v>
      </c>
      <c r="N172" s="39" t="s">
        <v>73</v>
      </c>
      <c r="O172" s="105" t="s">
        <v>57</v>
      </c>
      <c r="P172" s="105"/>
      <c r="Q172" s="10"/>
      <c r="R172" s="10"/>
    </row>
    <row r="173" spans="1:18" x14ac:dyDescent="0.25">
      <c r="A173" s="82" t="s">
        <v>0</v>
      </c>
      <c r="B173" s="31">
        <v>125.4</v>
      </c>
      <c r="C173" s="10"/>
      <c r="D173" s="1">
        <v>10949</v>
      </c>
      <c r="E173" s="16"/>
      <c r="F173" s="16"/>
      <c r="G173" s="26">
        <f>(5.01*(B173^0.59)*Z$71)/(86.4*I$14)</f>
        <v>13.484132874811014</v>
      </c>
      <c r="H173" s="42">
        <f>L$32^(J173-(0.6458446*LN(P$36))-(9.53942*N173*(P$36/P$35))+(4.8904*N173))</f>
        <v>26.744985612611192</v>
      </c>
      <c r="I173" s="42">
        <f>((L$32^(J173-(0.6458446*LN(P$36))-(9.53942*N173*(P$36/P$35))+(4.8904*N173)))/1000)*$Z$71</f>
        <v>11.145705304199589</v>
      </c>
      <c r="J173" s="87">
        <v>4.7</v>
      </c>
      <c r="K173" s="56"/>
      <c r="L173" s="56"/>
      <c r="M173" s="83">
        <f t="shared" ref="M173:M184" si="58">(B173-(0.74*P$174))</f>
        <v>77.655894367614721</v>
      </c>
      <c r="N173" s="10">
        <f>M173/Q173</f>
        <v>0.61388058788628241</v>
      </c>
      <c r="O173" s="50" t="s">
        <v>58</v>
      </c>
      <c r="P173" s="83">
        <f>(B173+B174+B175+B176+B177+B178+B179+B180+B181+B182+B183+B184)/12</f>
        <v>52.725000000000001</v>
      </c>
      <c r="Q173" s="89">
        <v>126.5</v>
      </c>
      <c r="R173" s="89"/>
    </row>
    <row r="174" spans="1:18" x14ac:dyDescent="0.25">
      <c r="A174" s="82" t="s">
        <v>1</v>
      </c>
      <c r="B174" s="31">
        <v>120.9</v>
      </c>
      <c r="C174" s="10"/>
      <c r="D174" s="1">
        <v>12367</v>
      </c>
      <c r="E174" s="16"/>
      <c r="F174" s="16"/>
      <c r="G174" s="26">
        <f>(5.01*(B174^0.59)*Z$71)/(86.4*J$15)</f>
        <v>14.106610995615657</v>
      </c>
      <c r="H174" s="42">
        <f>L$32^(J174-(0.6458446*LN(P$36))-(9.53942*N174*(P$36/P$35))+(4.8904*N174))</f>
        <v>26.949678582437301</v>
      </c>
      <c r="I174" s="42">
        <f t="shared" ref="I174:I184" si="59">((L$32^(J174-(0.6458446*LN(P$36))-(9.53942*N174*(P$36/P$35))+(4.8904*N174)))/1000)*$Z$71</f>
        <v>11.231009052444922</v>
      </c>
      <c r="J174" s="87">
        <v>4.7</v>
      </c>
      <c r="K174" s="56"/>
      <c r="L174" s="56"/>
      <c r="M174" s="83">
        <f t="shared" si="58"/>
        <v>73.155894367614721</v>
      </c>
      <c r="N174" s="10">
        <f t="shared" ref="N174:N184" si="60">M174/Q174</f>
        <v>0.63835858959524194</v>
      </c>
      <c r="O174" s="50" t="s">
        <v>66</v>
      </c>
      <c r="P174" s="83">
        <f>((((B173-P173)^2+(B174-P173)^2+(B175-P173)^2+(B176-P173)^2+(B177-P173)^2+(B178-P173)^2+(B179-P173)^2+(B180-P173)^2+(B181-P173)^2+(B182-P173)^2+(B183-P173)^2+(B184-P173)^2))/(12-1))^0.5</f>
        <v>64.519061665385522</v>
      </c>
      <c r="Q174" s="89">
        <v>114.6</v>
      </c>
      <c r="R174" s="89"/>
    </row>
    <row r="175" spans="1:18" x14ac:dyDescent="0.25">
      <c r="A175" s="82" t="s">
        <v>2</v>
      </c>
      <c r="B175" s="31">
        <v>185.9</v>
      </c>
      <c r="C175" s="10"/>
      <c r="D175" s="1">
        <v>15508</v>
      </c>
      <c r="E175" s="16"/>
      <c r="F175" s="16"/>
      <c r="G175" s="26">
        <f>(5.01*(B175^0.59)*Z$71)/(86.4*I$16)</f>
        <v>17.009921795430145</v>
      </c>
      <c r="H175" s="42">
        <f>L$32^(J175-(0.6458446*LN(P$36))-(9.53942*N175*(P$36/P$35))+(4.8904*N175))</f>
        <v>30.726973455591562</v>
      </c>
      <c r="I175" s="42">
        <f t="shared" si="59"/>
        <v>12.805158917883228</v>
      </c>
      <c r="J175" s="87">
        <v>4.7</v>
      </c>
      <c r="K175" s="56"/>
      <c r="L175" s="58"/>
      <c r="M175" s="83">
        <f t="shared" si="58"/>
        <v>138.15589436761474</v>
      </c>
      <c r="N175" s="10">
        <f t="shared" si="60"/>
        <v>1.0594777175430576</v>
      </c>
      <c r="O175" s="83"/>
      <c r="P175" s="83"/>
      <c r="Q175" s="89">
        <v>130.4</v>
      </c>
      <c r="R175" s="89"/>
    </row>
    <row r="176" spans="1:18" x14ac:dyDescent="0.25">
      <c r="A176" s="82" t="s">
        <v>3</v>
      </c>
      <c r="B176" s="31">
        <v>103.7</v>
      </c>
      <c r="C176" s="10"/>
      <c r="D176" s="1">
        <v>12336</v>
      </c>
      <c r="E176" s="16"/>
      <c r="F176" s="16"/>
      <c r="G176" s="26">
        <f>(5.01*(B176^0.59)*Z$71)/(86.4*I$17)</f>
        <v>12.455965088669808</v>
      </c>
      <c r="H176" s="42">
        <f>L$32^(J176-(0.6458446*LN(P$36))-(9.53942*N176*(P$36/P$35))+(4.8904*N176))</f>
        <v>25.312565461122698</v>
      </c>
      <c r="I176" s="42">
        <f>((L$32^(J176-(0.6458446*LN(P$36))-(9.53942*N176*(P$36/P$35))+(4.8904*N176)))/1000)*$Z$71</f>
        <v>10.548758530268273</v>
      </c>
      <c r="J176" s="87">
        <v>4.7</v>
      </c>
      <c r="K176" s="56"/>
      <c r="L176" s="56"/>
      <c r="M176" s="83">
        <f t="shared" si="58"/>
        <v>55.955894367614718</v>
      </c>
      <c r="N176" s="10">
        <f t="shared" si="60"/>
        <v>0.43715542474698998</v>
      </c>
      <c r="O176" s="83"/>
      <c r="P176" s="83"/>
      <c r="Q176" s="89">
        <v>128</v>
      </c>
      <c r="R176" s="89"/>
    </row>
    <row r="177" spans="1:18" x14ac:dyDescent="0.25">
      <c r="A177" s="82" t="s">
        <v>4</v>
      </c>
      <c r="B177" s="31">
        <v>52.8</v>
      </c>
      <c r="C177" s="10"/>
      <c r="D177" s="1">
        <v>7972</v>
      </c>
      <c r="E177" s="16"/>
      <c r="F177" s="16"/>
      <c r="G177" s="26">
        <f>(5.01*(B177^0.59)*Z$71)/(86.4*I$18)</f>
        <v>8.0943409022594413</v>
      </c>
      <c r="H177" s="42">
        <f t="shared" ref="H177:H184" si="61">L$32^(J177-(0.6458446*LN(P$36))-(9.53942*N177*(P$36/P$35))+(4.8904*N177))</f>
        <v>22.37350786480231</v>
      </c>
      <c r="I177" s="42">
        <f t="shared" si="59"/>
        <v>9.3239356675777145</v>
      </c>
      <c r="J177" s="87">
        <v>4.7</v>
      </c>
      <c r="K177" s="56"/>
      <c r="L177" s="56"/>
      <c r="M177" s="83">
        <f t="shared" si="58"/>
        <v>5.0558943676147123</v>
      </c>
      <c r="N177" s="10">
        <f t="shared" si="60"/>
        <v>4.0905294236364992E-2</v>
      </c>
      <c r="O177" s="59"/>
      <c r="P177" s="59"/>
      <c r="Q177" s="89">
        <v>123.6</v>
      </c>
      <c r="R177" s="89"/>
    </row>
    <row r="178" spans="1:18" x14ac:dyDescent="0.25">
      <c r="A178" s="82" t="s">
        <v>5</v>
      </c>
      <c r="B178" s="31">
        <v>13.9</v>
      </c>
      <c r="C178" s="10"/>
      <c r="D178" s="1">
        <v>3694</v>
      </c>
      <c r="E178" s="16"/>
      <c r="F178" s="16"/>
      <c r="G178" s="26">
        <f>(5.01*(B178^0.59)*Z$71)/(86.4*I$19)</f>
        <v>3.8058060153057633</v>
      </c>
      <c r="H178" s="42">
        <f t="shared" si="61"/>
        <v>9.0147773079974414</v>
      </c>
      <c r="I178" s="42">
        <f t="shared" si="59"/>
        <v>3.7568182953348539</v>
      </c>
      <c r="J178" s="87">
        <v>3.9</v>
      </c>
      <c r="K178" s="56"/>
      <c r="L178" s="56"/>
      <c r="M178" s="83">
        <f t="shared" si="58"/>
        <v>-33.844105632385286</v>
      </c>
      <c r="N178" s="10">
        <f t="shared" si="60"/>
        <v>-0.30907859025009393</v>
      </c>
      <c r="O178" s="59"/>
      <c r="P178" s="59"/>
      <c r="Q178" s="89">
        <v>109.5</v>
      </c>
      <c r="R178" s="89"/>
    </row>
    <row r="179" spans="1:18" x14ac:dyDescent="0.25">
      <c r="A179" s="82" t="s">
        <v>6</v>
      </c>
      <c r="B179" s="31">
        <v>0</v>
      </c>
      <c r="C179" s="10"/>
      <c r="D179" s="1">
        <v>1186</v>
      </c>
      <c r="E179" s="16"/>
      <c r="F179" s="16"/>
      <c r="G179" s="26">
        <f>(5.01*(B179^0.59)*Z$71)/(86.4*I$20)</f>
        <v>0</v>
      </c>
      <c r="H179" s="42">
        <f t="shared" si="61"/>
        <v>1.9235581435537017</v>
      </c>
      <c r="I179" s="42">
        <f t="shared" si="59"/>
        <v>0.80162362074456961</v>
      </c>
      <c r="J179" s="87">
        <v>2.4</v>
      </c>
      <c r="K179" s="56"/>
      <c r="L179" s="56"/>
      <c r="M179" s="83">
        <f t="shared" si="58"/>
        <v>-47.744105632385285</v>
      </c>
      <c r="N179" s="10">
        <f t="shared" si="60"/>
        <v>-0.45255076428801216</v>
      </c>
      <c r="O179" s="59"/>
      <c r="P179" s="59"/>
      <c r="Q179" s="89">
        <v>105.5</v>
      </c>
      <c r="R179" s="89"/>
    </row>
    <row r="180" spans="1:18" x14ac:dyDescent="0.25">
      <c r="A180" s="82" t="s">
        <v>7</v>
      </c>
      <c r="B180" s="31">
        <v>1.3</v>
      </c>
      <c r="C180" s="10"/>
      <c r="D180" s="10">
        <v>0.51300000000000001</v>
      </c>
      <c r="E180" s="16"/>
      <c r="F180" s="16"/>
      <c r="G180" s="26">
        <f>(5.01*(B180^0.59)*Z$71)/(86.4*I$21)</f>
        <v>0.9100265327569651</v>
      </c>
      <c r="H180" s="42">
        <f t="shared" si="61"/>
        <v>0.52541711398370883</v>
      </c>
      <c r="I180" s="42">
        <f t="shared" si="59"/>
        <v>0.21896232808157082</v>
      </c>
      <c r="J180" s="87">
        <v>1.1000000000000001</v>
      </c>
      <c r="K180" s="56"/>
      <c r="L180" s="56"/>
      <c r="M180" s="83">
        <f t="shared" si="58"/>
        <v>-46.444105632385288</v>
      </c>
      <c r="N180" s="10">
        <f t="shared" si="60"/>
        <v>-0.44529343846965763</v>
      </c>
      <c r="O180" s="60"/>
      <c r="P180" s="59"/>
      <c r="Q180" s="89">
        <v>104.3</v>
      </c>
      <c r="R180" s="89"/>
    </row>
    <row r="181" spans="1:18" x14ac:dyDescent="0.25">
      <c r="A181" s="82" t="s">
        <v>8</v>
      </c>
      <c r="B181" s="31">
        <v>0.5</v>
      </c>
      <c r="C181" s="10"/>
      <c r="D181" s="10">
        <v>0.41599999999999998</v>
      </c>
      <c r="E181" s="16"/>
      <c r="F181" s="16"/>
      <c r="G181" s="26">
        <f>(5.01*(B181^0.59)*Z$71)/(86.4*I$22)</f>
        <v>0.53513113350589636</v>
      </c>
      <c r="H181" s="42">
        <f t="shared" si="61"/>
        <v>0.52212721263179973</v>
      </c>
      <c r="I181" s="42">
        <f t="shared" si="59"/>
        <v>0.21759129459217622</v>
      </c>
      <c r="J181" s="87">
        <v>1.1000000000000001</v>
      </c>
      <c r="K181" s="56"/>
      <c r="L181" s="56"/>
      <c r="M181" s="83">
        <f t="shared" si="58"/>
        <v>-47.244105632385285</v>
      </c>
      <c r="N181" s="10">
        <f t="shared" si="60"/>
        <v>-0.46545916879197324</v>
      </c>
      <c r="O181" s="59"/>
      <c r="P181" s="59"/>
      <c r="Q181" s="89">
        <v>101.5</v>
      </c>
      <c r="R181" s="89"/>
    </row>
    <row r="182" spans="1:18" ht="18.75" x14ac:dyDescent="0.3">
      <c r="A182" s="82" t="s">
        <v>9</v>
      </c>
      <c r="B182" s="31">
        <v>0</v>
      </c>
      <c r="C182" s="10"/>
      <c r="D182" s="10">
        <v>0.35599999999999998</v>
      </c>
      <c r="E182" s="16"/>
      <c r="F182" s="16"/>
      <c r="G182" s="26">
        <f>(5.01*(B182^0.59)*Z$71)/(86.4*I$23)</f>
        <v>0</v>
      </c>
      <c r="H182" s="42">
        <f t="shared" si="61"/>
        <v>1.9310698512552089</v>
      </c>
      <c r="I182" s="42">
        <f>((L$32^(J182-(0.6458446*LN(P$36))-(9.53942*N182*(P$36/P$35))+(4.8904*N182)))/1000)*$Z$71</f>
        <v>0.80475404981209586</v>
      </c>
      <c r="J182" s="87">
        <v>2.4</v>
      </c>
      <c r="K182" s="56"/>
      <c r="L182" s="56"/>
      <c r="M182" s="83">
        <f t="shared" si="58"/>
        <v>-47.744105632385285</v>
      </c>
      <c r="N182" s="10">
        <f t="shared" si="60"/>
        <v>-0.44003783992981832</v>
      </c>
      <c r="O182" s="61"/>
      <c r="P182" s="62"/>
      <c r="Q182" s="89">
        <v>108.5</v>
      </c>
      <c r="R182" s="89"/>
    </row>
    <row r="183" spans="1:18" x14ac:dyDescent="0.25">
      <c r="A183" s="82" t="s">
        <v>10</v>
      </c>
      <c r="B183" s="31">
        <v>6.7</v>
      </c>
      <c r="C183" s="10"/>
      <c r="D183" s="1">
        <v>1206</v>
      </c>
      <c r="E183" s="16"/>
      <c r="F183" s="16"/>
      <c r="G183" s="26">
        <f>(5.01*(B183^0.59)*Z$71)/(86.4*I$24)</f>
        <v>2.4742982595940295</v>
      </c>
      <c r="H183" s="42">
        <f t="shared" si="61"/>
        <v>8.8550724727548165</v>
      </c>
      <c r="I183" s="42">
        <f t="shared" si="59"/>
        <v>3.6902629022958422</v>
      </c>
      <c r="J183" s="87">
        <v>3.9</v>
      </c>
      <c r="K183" s="56"/>
      <c r="L183" s="56"/>
      <c r="M183" s="83">
        <f t="shared" si="58"/>
        <v>-41.044105632385282</v>
      </c>
      <c r="N183" s="10">
        <f t="shared" si="60"/>
        <v>-0.36646522886058286</v>
      </c>
      <c r="O183" s="62"/>
      <c r="P183" s="59"/>
      <c r="Q183" s="89">
        <v>112</v>
      </c>
      <c r="R183" s="89"/>
    </row>
    <row r="184" spans="1:18" x14ac:dyDescent="0.25">
      <c r="A184" s="82" t="s">
        <v>11</v>
      </c>
      <c r="B184" s="31">
        <v>21.6</v>
      </c>
      <c r="C184" s="10"/>
      <c r="D184" s="1">
        <v>3088</v>
      </c>
      <c r="E184" s="16"/>
      <c r="F184" s="16"/>
      <c r="G184" s="26">
        <f>(5.01*(B184^0.59)*Z$71)/(86.4*I$25)</f>
        <v>4.7769994372838447</v>
      </c>
      <c r="H184" s="42">
        <f t="shared" si="61"/>
        <v>9.2833582281814611</v>
      </c>
      <c r="I184" s="42">
        <f t="shared" si="59"/>
        <v>3.8687467080123423</v>
      </c>
      <c r="J184" s="87">
        <v>3.9</v>
      </c>
      <c r="K184" s="56"/>
      <c r="L184" s="56"/>
      <c r="M184" s="83">
        <f t="shared" si="58"/>
        <v>-26.144105632385283</v>
      </c>
      <c r="N184" s="10">
        <f t="shared" si="60"/>
        <v>-0.21482420404589386</v>
      </c>
      <c r="O184" s="83"/>
      <c r="P184" s="83"/>
      <c r="Q184" s="89">
        <v>121.7</v>
      </c>
      <c r="R184" s="89"/>
    </row>
    <row r="185" spans="1:18" x14ac:dyDescent="0.25">
      <c r="A185" s="82" t="s">
        <v>12</v>
      </c>
      <c r="B185" s="11">
        <v>1992</v>
      </c>
      <c r="C185" s="11">
        <v>1992</v>
      </c>
      <c r="D185" s="87">
        <v>1992</v>
      </c>
      <c r="E185" s="87">
        <v>1992</v>
      </c>
      <c r="F185" s="87">
        <v>1992</v>
      </c>
      <c r="G185" s="87">
        <v>1992</v>
      </c>
      <c r="H185" s="87">
        <v>1992</v>
      </c>
      <c r="I185" s="87">
        <v>1992</v>
      </c>
      <c r="J185" s="47" t="s">
        <v>70</v>
      </c>
      <c r="K185" s="27"/>
      <c r="L185" s="27"/>
      <c r="M185" s="39" t="s">
        <v>60</v>
      </c>
      <c r="N185" s="39" t="s">
        <v>73</v>
      </c>
      <c r="O185" s="105" t="s">
        <v>57</v>
      </c>
      <c r="P185" s="105"/>
      <c r="Q185" s="10"/>
      <c r="R185" s="10"/>
    </row>
    <row r="186" spans="1:18" x14ac:dyDescent="0.25">
      <c r="A186" s="82" t="s">
        <v>0</v>
      </c>
      <c r="B186" s="31">
        <v>257.60000000000002</v>
      </c>
      <c r="C186" s="10"/>
      <c r="D186" s="1">
        <v>17298</v>
      </c>
      <c r="E186" s="16"/>
      <c r="F186" s="16"/>
      <c r="G186" s="26">
        <f>(5.01*(B186^0.59)*Z$71)/(86.4*I$14)</f>
        <v>20.619851514897533</v>
      </c>
      <c r="H186" s="42">
        <f>L$32^(J186-(0.6458446*LN(P$36))-(9.53942*N186*(P$36/P$35))+(4.8904*N186))</f>
        <v>31.805209610653399</v>
      </c>
      <c r="I186" s="42">
        <f>((L$32^(J186-(0.6458446*LN(P$36))-(9.53942*N186*(P$36/P$35))+(4.8904*N186)))/1000)*$Z$71</f>
        <v>13.254503053143697</v>
      </c>
      <c r="J186" s="87">
        <v>4.7</v>
      </c>
      <c r="K186" s="56"/>
      <c r="L186" s="56"/>
      <c r="M186" s="83">
        <f t="shared" ref="M186:M197" si="62">(B186-(0.74*P$187))</f>
        <v>148.03095719275007</v>
      </c>
      <c r="N186" s="10">
        <f>M186/Q186</f>
        <v>1.1702051951996053</v>
      </c>
      <c r="O186" s="50" t="s">
        <v>58</v>
      </c>
      <c r="P186" s="83">
        <f>(B186+B187+B188+B189+B190+B191+B192+B193+B194+B195+B196+B197)/12</f>
        <v>126.81666666666668</v>
      </c>
      <c r="Q186" s="89">
        <v>126.5</v>
      </c>
      <c r="R186" s="89"/>
    </row>
    <row r="187" spans="1:18" x14ac:dyDescent="0.25">
      <c r="A187" s="82" t="s">
        <v>1</v>
      </c>
      <c r="B187" s="31">
        <v>273.10000000000002</v>
      </c>
      <c r="C187" s="10"/>
      <c r="D187" s="1">
        <v>21786</v>
      </c>
      <c r="E187" s="16"/>
      <c r="F187" s="16"/>
      <c r="G187" s="26">
        <f>(5.01*(B187^0.59)*Z$71)/(86.4*J$15)</f>
        <v>22.815026416727545</v>
      </c>
      <c r="H187" s="42">
        <f>L$32^(J187-(0.6458446*LN(P$36))-(9.53942*N187*(P$36/P$35))+(4.8904*N187))</f>
        <v>34.453387436773198</v>
      </c>
      <c r="I187" s="42">
        <f t="shared" ref="I187:I197" si="63">((L$32^(J187-(0.6458446*LN(P$36))-(9.53942*N187*(P$36/P$35))+(4.8904*N187)))/1000)*$Z$71</f>
        <v>14.358104680400862</v>
      </c>
      <c r="J187" s="87">
        <v>4.7</v>
      </c>
      <c r="K187" s="56"/>
      <c r="L187" s="56"/>
      <c r="M187" s="83">
        <f t="shared" si="62"/>
        <v>163.53095719275007</v>
      </c>
      <c r="N187" s="10">
        <f t="shared" ref="N187:N197" si="64">M187/Q187</f>
        <v>1.4269717032526184</v>
      </c>
      <c r="O187" s="50" t="s">
        <v>66</v>
      </c>
      <c r="P187" s="83">
        <f>((((B186-P186)^2+(B187-P186)^2+(B188-P186)^2+(B189-P186)^2+(B190-P186)^2+(B191-P186)^2+(B192-P186)^2+(B193-P186)^2+(B194-P186)^2+(B195-P186)^2+(B196-P186)^2+(B197-P186)^2))/(12-1))^0.5</f>
        <v>148.0662740638513</v>
      </c>
      <c r="Q187" s="89">
        <v>114.6</v>
      </c>
      <c r="R187" s="89"/>
    </row>
    <row r="188" spans="1:18" x14ac:dyDescent="0.25">
      <c r="A188" s="82" t="s">
        <v>2</v>
      </c>
      <c r="B188" s="31">
        <v>367.1</v>
      </c>
      <c r="C188" s="10"/>
      <c r="D188" s="1">
        <v>25354</v>
      </c>
      <c r="E188" s="16"/>
      <c r="F188" s="16"/>
      <c r="G188" s="26">
        <f>(5.01*(B188^0.59)*Z$71)/(86.4*I$16)</f>
        <v>25.412668063223688</v>
      </c>
      <c r="H188" s="42">
        <f>L$32^(J188-(0.6458446*LN(P$36))-(9.53942*N188*(P$36/P$35))+(4.8904*N188))</f>
        <v>40.865439209935424</v>
      </c>
      <c r="I188" s="42">
        <f t="shared" si="63"/>
        <v>17.030263136348491</v>
      </c>
      <c r="J188" s="87">
        <v>4.7</v>
      </c>
      <c r="K188" s="56"/>
      <c r="L188" s="58"/>
      <c r="M188" s="83">
        <f t="shared" si="62"/>
        <v>257.53095719275007</v>
      </c>
      <c r="N188" s="10">
        <f t="shared" si="64"/>
        <v>1.9749306533186355</v>
      </c>
      <c r="O188" s="83"/>
      <c r="P188" s="83"/>
      <c r="Q188" s="89">
        <v>130.4</v>
      </c>
      <c r="R188" s="89"/>
    </row>
    <row r="189" spans="1:18" x14ac:dyDescent="0.25">
      <c r="A189" s="82" t="s">
        <v>3</v>
      </c>
      <c r="B189" s="31">
        <v>310.3</v>
      </c>
      <c r="C189" s="10"/>
      <c r="D189" s="1">
        <v>24482</v>
      </c>
      <c r="E189" s="16"/>
      <c r="F189" s="16"/>
      <c r="G189" s="26">
        <f>(5.01*(B189^0.59)*Z$71)/(86.4*I$17)</f>
        <v>23.78040045053606</v>
      </c>
      <c r="H189" s="42">
        <f>L$32^(J189-(0.6458446*LN(P$36))-(9.53942*N189*(P$36/P$35))+(4.8904*N189))</f>
        <v>36.002925110946258</v>
      </c>
      <c r="I189" s="42">
        <f>((L$32^(J189-(0.6458446*LN(P$36))-(9.53942*N189*(P$36/P$35))+(4.8904*N189)))/1000)*$Z$71</f>
        <v>15.003859010735743</v>
      </c>
      <c r="J189" s="87">
        <v>4.7</v>
      </c>
      <c r="K189" s="56"/>
      <c r="L189" s="56"/>
      <c r="M189" s="83">
        <f t="shared" si="62"/>
        <v>200.73095719275005</v>
      </c>
      <c r="N189" s="10">
        <f t="shared" si="64"/>
        <v>1.5682106030683598</v>
      </c>
      <c r="O189" s="83"/>
      <c r="P189" s="83"/>
      <c r="Q189" s="89">
        <v>128</v>
      </c>
      <c r="R189" s="89"/>
    </row>
    <row r="190" spans="1:18" x14ac:dyDescent="0.25">
      <c r="A190" s="82" t="s">
        <v>4</v>
      </c>
      <c r="B190" s="31">
        <v>244.7</v>
      </c>
      <c r="C190" s="10"/>
      <c r="D190" s="1">
        <v>21129</v>
      </c>
      <c r="E190" s="16"/>
      <c r="F190" s="16"/>
      <c r="G190" s="26">
        <f>(5.01*(B190^0.59)*Z$71)/(86.4*I$18)</f>
        <v>20.004215243231869</v>
      </c>
      <c r="H190" s="42">
        <f t="shared" ref="H190:H197" si="65">L$32^(J190-(0.6458446*LN(P$36))-(9.53942*N190*(P$36/P$35))+(4.8904*N190))</f>
        <v>31.052318265529117</v>
      </c>
      <c r="I190" s="42">
        <f t="shared" si="63"/>
        <v>12.940743113976604</v>
      </c>
      <c r="J190" s="87">
        <v>4.7</v>
      </c>
      <c r="K190" s="56"/>
      <c r="L190" s="56"/>
      <c r="M190" s="83">
        <f t="shared" si="62"/>
        <v>135.13095719275003</v>
      </c>
      <c r="N190" s="10">
        <f t="shared" si="64"/>
        <v>1.0932925339219259</v>
      </c>
      <c r="O190" s="59"/>
      <c r="P190" s="59"/>
      <c r="Q190" s="89">
        <v>123.6</v>
      </c>
      <c r="R190" s="89"/>
    </row>
    <row r="191" spans="1:18" x14ac:dyDescent="0.25">
      <c r="A191" s="82" t="s">
        <v>5</v>
      </c>
      <c r="B191" s="31">
        <v>27.4</v>
      </c>
      <c r="C191" s="10"/>
      <c r="D191" s="1">
        <v>8645</v>
      </c>
      <c r="E191" s="16"/>
      <c r="F191" s="16"/>
      <c r="G191" s="26">
        <f>(5.01*(B191^0.59)*Z$71)/(86.4*I$19)</f>
        <v>5.6799007652237865</v>
      </c>
      <c r="H191" s="42">
        <f t="shared" si="65"/>
        <v>7.8569805342979171</v>
      </c>
      <c r="I191" s="42">
        <f t="shared" si="63"/>
        <v>3.2743180678633146</v>
      </c>
      <c r="J191" s="87">
        <v>3.9</v>
      </c>
      <c r="K191" s="56"/>
      <c r="L191" s="56"/>
      <c r="M191" s="83">
        <f t="shared" si="62"/>
        <v>-82.169042807249951</v>
      </c>
      <c r="N191" s="10">
        <f t="shared" si="64"/>
        <v>-0.75040221741780777</v>
      </c>
      <c r="O191" s="59"/>
      <c r="P191" s="59"/>
      <c r="Q191" s="89">
        <v>109.5</v>
      </c>
      <c r="R191" s="89"/>
    </row>
    <row r="192" spans="1:18" x14ac:dyDescent="0.25">
      <c r="A192" s="82" t="s">
        <v>6</v>
      </c>
      <c r="B192" s="31">
        <v>1.1000000000000001</v>
      </c>
      <c r="C192" s="10"/>
      <c r="D192" s="1">
        <v>1979</v>
      </c>
      <c r="E192" s="16"/>
      <c r="F192" s="16"/>
      <c r="G192" s="26">
        <f>(5.01*(B192^0.59)*Z$71)/(86.4*I$20)</f>
        <v>0.82461107093750996</v>
      </c>
      <c r="H192" s="42">
        <f t="shared" si="65"/>
        <v>1.607840945087303</v>
      </c>
      <c r="I192" s="42">
        <f t="shared" si="63"/>
        <v>0.67005163545568269</v>
      </c>
      <c r="J192" s="87">
        <v>2.4</v>
      </c>
      <c r="K192" s="56"/>
      <c r="L192" s="56"/>
      <c r="M192" s="83">
        <f t="shared" si="62"/>
        <v>-108.46904280724996</v>
      </c>
      <c r="N192" s="10">
        <f t="shared" si="64"/>
        <v>-1.0281425858507105</v>
      </c>
      <c r="O192" s="59"/>
      <c r="P192" s="59"/>
      <c r="Q192" s="89">
        <v>105.5</v>
      </c>
      <c r="R192" s="89"/>
    </row>
    <row r="193" spans="1:22" x14ac:dyDescent="0.25">
      <c r="A193" s="82" t="s">
        <v>7</v>
      </c>
      <c r="B193" s="31">
        <v>0.7</v>
      </c>
      <c r="C193" s="10"/>
      <c r="D193" s="10">
        <v>0.52200000000000002</v>
      </c>
      <c r="E193" s="16"/>
      <c r="F193" s="16"/>
      <c r="G193" s="26">
        <f>(5.01*(B193^0.59)*Z$71)/(86.4*I$21)</f>
        <v>0.63159010961332729</v>
      </c>
      <c r="H193" s="42">
        <f t="shared" si="65"/>
        <v>0.436055044812385</v>
      </c>
      <c r="I193" s="42">
        <f t="shared" si="63"/>
        <v>0.18172157937511332</v>
      </c>
      <c r="J193" s="87">
        <v>1.1000000000000001</v>
      </c>
      <c r="K193" s="56"/>
      <c r="L193" s="56"/>
      <c r="M193" s="83">
        <f t="shared" si="62"/>
        <v>-108.86904280724995</v>
      </c>
      <c r="N193" s="10">
        <f t="shared" si="64"/>
        <v>-1.0438067383245442</v>
      </c>
      <c r="O193" s="60"/>
      <c r="P193" s="59"/>
      <c r="Q193" s="89">
        <v>104.3</v>
      </c>
      <c r="R193" s="89"/>
    </row>
    <row r="194" spans="1:22" x14ac:dyDescent="0.25">
      <c r="A194" s="82" t="s">
        <v>8</v>
      </c>
      <c r="B194" s="31">
        <v>0.2</v>
      </c>
      <c r="C194" s="10"/>
      <c r="D194" s="10">
        <v>0.27600000000000002</v>
      </c>
      <c r="E194" s="16"/>
      <c r="F194" s="16"/>
      <c r="G194" s="26">
        <f>(5.01*(B194^0.59)*Z$71)/(86.4*I$22)</f>
        <v>0.31165608694477714</v>
      </c>
      <c r="H194" s="42">
        <f t="shared" si="65"/>
        <v>0.43149899924658364</v>
      </c>
      <c r="I194" s="42">
        <f t="shared" si="63"/>
        <v>0.17982289294602127</v>
      </c>
      <c r="J194" s="87">
        <v>1.1000000000000001</v>
      </c>
      <c r="K194" s="56"/>
      <c r="L194" s="56"/>
      <c r="M194" s="83">
        <f t="shared" si="62"/>
        <v>-109.36904280724995</v>
      </c>
      <c r="N194" s="10">
        <f t="shared" si="64"/>
        <v>-1.077527515342364</v>
      </c>
      <c r="O194" s="59"/>
      <c r="P194" s="59"/>
      <c r="Q194" s="89">
        <v>101.5</v>
      </c>
      <c r="R194" s="89"/>
    </row>
    <row r="195" spans="1:22" ht="18.75" x14ac:dyDescent="0.3">
      <c r="A195" s="82" t="s">
        <v>9</v>
      </c>
      <c r="B195" s="31">
        <v>0.4</v>
      </c>
      <c r="C195" s="10"/>
      <c r="D195" s="10">
        <v>0.27200000000000002</v>
      </c>
      <c r="E195" s="16"/>
      <c r="F195" s="16"/>
      <c r="G195" s="26">
        <f>(5.01*(B195^0.59)*Z$71)/(86.4*I$23)</f>
        <v>0.45398643017853541</v>
      </c>
      <c r="H195" s="42">
        <f t="shared" si="65"/>
        <v>1.6188845967891503</v>
      </c>
      <c r="I195" s="42">
        <f>((L$32^(J195-(0.6458446*LN(P$36))-(9.53942*N195*(P$36/P$35))+(4.8904*N195)))/1000)*$Z$71</f>
        <v>0.6746539668659105</v>
      </c>
      <c r="J195" s="87">
        <v>2.4</v>
      </c>
      <c r="K195" s="56"/>
      <c r="L195" s="56"/>
      <c r="M195" s="83">
        <f t="shared" si="62"/>
        <v>-109.16904280724995</v>
      </c>
      <c r="N195" s="10">
        <f t="shared" si="64"/>
        <v>-1.0061662931543773</v>
      </c>
      <c r="O195" s="61"/>
      <c r="P195" s="62"/>
      <c r="Q195" s="89">
        <v>108.5</v>
      </c>
      <c r="R195" s="89"/>
    </row>
    <row r="196" spans="1:22" x14ac:dyDescent="0.25">
      <c r="A196" s="82" t="s">
        <v>10</v>
      </c>
      <c r="B196" s="31">
        <v>0.1</v>
      </c>
      <c r="C196" s="10"/>
      <c r="D196" s="10">
        <v>0.192</v>
      </c>
      <c r="E196" s="16"/>
      <c r="F196" s="16"/>
      <c r="G196" s="26">
        <f>(5.01*(B196^0.59)*Z$71)/(86.4*I$24)</f>
        <v>0.20704651080017727</v>
      </c>
      <c r="H196" s="42">
        <f t="shared" si="65"/>
        <v>7.3206329682666542</v>
      </c>
      <c r="I196" s="42">
        <f t="shared" si="63"/>
        <v>3.0508005831954454</v>
      </c>
      <c r="J196" s="87">
        <v>3.9</v>
      </c>
      <c r="K196" s="56"/>
      <c r="L196" s="56"/>
      <c r="M196" s="83">
        <f t="shared" si="62"/>
        <v>-109.46904280724996</v>
      </c>
      <c r="N196" s="10">
        <f t="shared" si="64"/>
        <v>-0.97740216792187462</v>
      </c>
      <c r="O196" s="62"/>
      <c r="P196" s="59"/>
      <c r="Q196" s="89">
        <v>112</v>
      </c>
      <c r="R196" s="89"/>
      <c r="S196" s="5"/>
      <c r="T196" s="5"/>
      <c r="U196" s="5"/>
      <c r="V196" s="5"/>
    </row>
    <row r="197" spans="1:22" x14ac:dyDescent="0.25">
      <c r="A197" s="82" t="s">
        <v>11</v>
      </c>
      <c r="B197" s="31">
        <v>39.1</v>
      </c>
      <c r="C197" s="10"/>
      <c r="D197" s="1">
        <v>4461</v>
      </c>
      <c r="E197" s="16"/>
      <c r="F197" s="16"/>
      <c r="G197" s="26">
        <f>(5.01*(B197^0.59)*Z$71)/(86.4*I$25)</f>
        <v>6.7797200901982926</v>
      </c>
      <c r="H197" s="42">
        <f t="shared" si="65"/>
        <v>8.2877483875565634</v>
      </c>
      <c r="I197" s="42">
        <f t="shared" si="63"/>
        <v>3.4538362630303228</v>
      </c>
      <c r="J197" s="87">
        <v>3.9</v>
      </c>
      <c r="K197" s="56"/>
      <c r="L197" s="56"/>
      <c r="M197" s="83">
        <f t="shared" si="62"/>
        <v>-70.469042807249963</v>
      </c>
      <c r="N197" s="10">
        <f t="shared" si="64"/>
        <v>-0.57903897130032833</v>
      </c>
      <c r="O197" s="83"/>
      <c r="P197" s="83"/>
      <c r="Q197" s="89">
        <v>121.7</v>
      </c>
      <c r="R197" s="89"/>
      <c r="S197" s="5"/>
      <c r="T197" s="5"/>
      <c r="U197" s="5"/>
      <c r="V197" s="5"/>
    </row>
    <row r="198" spans="1:22" x14ac:dyDescent="0.25">
      <c r="A198" s="82" t="s">
        <v>12</v>
      </c>
      <c r="B198" s="11">
        <v>1993</v>
      </c>
      <c r="C198" s="11">
        <v>1993</v>
      </c>
      <c r="D198" s="87">
        <v>1993</v>
      </c>
      <c r="E198" s="87">
        <v>1993</v>
      </c>
      <c r="F198" s="87">
        <v>1993</v>
      </c>
      <c r="G198" s="87">
        <v>1993</v>
      </c>
      <c r="H198" s="87">
        <v>1993</v>
      </c>
      <c r="I198" s="87">
        <v>1993</v>
      </c>
      <c r="J198" s="47" t="s">
        <v>70</v>
      </c>
      <c r="K198" s="27"/>
      <c r="L198" s="27"/>
      <c r="M198" s="39" t="s">
        <v>60</v>
      </c>
      <c r="N198" s="39" t="s">
        <v>73</v>
      </c>
      <c r="O198" s="105" t="s">
        <v>57</v>
      </c>
      <c r="P198" s="105"/>
      <c r="Q198" s="10"/>
      <c r="R198" s="10"/>
      <c r="S198" s="5"/>
      <c r="T198" s="5"/>
      <c r="U198" s="5"/>
      <c r="V198" s="5"/>
    </row>
    <row r="199" spans="1:22" x14ac:dyDescent="0.25">
      <c r="A199" s="82" t="s">
        <v>0</v>
      </c>
      <c r="B199" s="31">
        <v>97.8</v>
      </c>
      <c r="C199" s="10"/>
      <c r="D199" s="10">
        <v>9.43</v>
      </c>
      <c r="E199" s="16"/>
      <c r="F199" s="16"/>
      <c r="G199" s="26">
        <f>(5.01*(B199^0.59)*Z$71)/(86.4*I$14)</f>
        <v>11.64467578513867</v>
      </c>
      <c r="H199" s="42">
        <f>L$32^(J199-(0.6458446*LN(P$36))-(9.53942*N199*(P$36/P$35))+(4.8904*N199))</f>
        <v>23.3208296849735</v>
      </c>
      <c r="I199" s="42">
        <f>((L$32^(J199-(0.6458446*LN(P$36))-(9.53942*N199*(P$36/P$35))+(4.8904*N199)))/1000)*$Z$71</f>
        <v>9.7187225629158558</v>
      </c>
      <c r="J199" s="87">
        <v>4.7</v>
      </c>
      <c r="K199" s="56"/>
      <c r="L199" s="56"/>
      <c r="M199" s="83">
        <f t="shared" ref="M199:M210" si="66">(B199-(0.74*P$200))</f>
        <v>22.016376633766356</v>
      </c>
      <c r="N199" s="10">
        <f>M199/Q199</f>
        <v>0.17404250303372615</v>
      </c>
      <c r="O199" s="50" t="s">
        <v>58</v>
      </c>
      <c r="P199" s="83">
        <f>(B199+B200+B201+B202+B203+B204+B205+B206+B207+B208+B209+B210)/12</f>
        <v>71.841666666666669</v>
      </c>
      <c r="Q199" s="89">
        <v>126.5</v>
      </c>
      <c r="R199" s="89"/>
      <c r="S199" s="5"/>
      <c r="T199" s="5"/>
      <c r="U199" s="5"/>
      <c r="V199" s="5"/>
    </row>
    <row r="200" spans="1:22" x14ac:dyDescent="0.25">
      <c r="A200" s="82" t="s">
        <v>1</v>
      </c>
      <c r="B200" s="31">
        <v>291.8</v>
      </c>
      <c r="C200" s="10"/>
      <c r="D200" s="1">
        <v>20195</v>
      </c>
      <c r="E200" s="16"/>
      <c r="F200" s="16"/>
      <c r="G200" s="26">
        <f>(5.01*(B200^0.59)*Z$71)/(86.4*J$15)</f>
        <v>23.724195409656012</v>
      </c>
      <c r="H200" s="42">
        <f>L$32^(J200-(0.6458446*LN(P$36))-(9.53942*N200*(P$36/P$35))+(4.8904*N200))</f>
        <v>39.736123133843989</v>
      </c>
      <c r="I200" s="42">
        <f t="shared" ref="I200:I210" si="67">((L$32^(J200-(0.6458446*LN(P$36))-(9.53942*N200*(P$36/P$35))+(4.8904*N200)))/1000)*$Z$71</f>
        <v>16.559631954798146</v>
      </c>
      <c r="J200" s="87">
        <v>4.7</v>
      </c>
      <c r="K200" s="56"/>
      <c r="L200" s="56"/>
      <c r="M200" s="83">
        <f t="shared" si="66"/>
        <v>216.01637663376636</v>
      </c>
      <c r="N200" s="10">
        <f t="shared" ref="N200:N210" si="68">M200/Q200</f>
        <v>1.8849596564901079</v>
      </c>
      <c r="O200" s="50" t="s">
        <v>66</v>
      </c>
      <c r="P200" s="83">
        <f>((((B199-P199)^2+(B200-P199)^2+(B201-P199)^2+(B202-P199)^2+(B203-P199)^2+(B204-P199)^2+(B205-P199)^2+(B206-P199)^2+(B207-P199)^2+(B208-P199)^2+(B209-P199)^2+(B210-P199)^2))/(12-1))^0.5</f>
        <v>102.41030184626167</v>
      </c>
      <c r="Q200" s="89">
        <v>114.6</v>
      </c>
      <c r="R200" s="89"/>
      <c r="S200" s="5"/>
      <c r="T200" s="5"/>
      <c r="U200" s="5"/>
      <c r="V200" s="5"/>
    </row>
    <row r="201" spans="1:22" x14ac:dyDescent="0.25">
      <c r="A201" s="82" t="s">
        <v>2</v>
      </c>
      <c r="B201" s="31">
        <v>240.4</v>
      </c>
      <c r="C201" s="10"/>
      <c r="D201" s="1">
        <v>20325</v>
      </c>
      <c r="E201" s="16"/>
      <c r="F201" s="5"/>
      <c r="G201" s="26">
        <f>(5.01*(B201^0.59)*Z$71)/(86.4*I$16)</f>
        <v>19.796062227320348</v>
      </c>
      <c r="H201" s="42">
        <f>L$32^(J201-(0.6458446*LN(P$36))-(9.53942*N201*(P$36/P$35))+(4.8904*N201))</f>
        <v>32.731744847670775</v>
      </c>
      <c r="I201" s="42">
        <f t="shared" si="67"/>
        <v>13.640627347818318</v>
      </c>
      <c r="J201" s="87">
        <v>4.7</v>
      </c>
      <c r="K201" s="56"/>
      <c r="L201" s="58"/>
      <c r="M201" s="83">
        <f t="shared" si="66"/>
        <v>164.61637663376638</v>
      </c>
      <c r="N201" s="10">
        <f t="shared" si="68"/>
        <v>1.2623955263325641</v>
      </c>
      <c r="O201" s="83"/>
      <c r="P201" s="83"/>
      <c r="Q201" s="89">
        <v>130.4</v>
      </c>
      <c r="R201" s="89"/>
      <c r="S201" s="5"/>
      <c r="T201" s="5"/>
      <c r="U201" s="5"/>
    </row>
    <row r="202" spans="1:22" x14ac:dyDescent="0.25">
      <c r="A202" s="82" t="s">
        <v>3</v>
      </c>
      <c r="B202" s="31">
        <v>148.6</v>
      </c>
      <c r="C202" s="10"/>
      <c r="D202" s="1">
        <v>15565</v>
      </c>
      <c r="E202" s="16"/>
      <c r="F202" s="5"/>
      <c r="G202" s="26">
        <f>(5.01*(B202^0.59)*Z$71)/(86.4*I$17)</f>
        <v>15.401357914738748</v>
      </c>
      <c r="H202" s="42">
        <f>L$32^(J202-(0.6458446*LN(P$36))-(9.53942*N202*(P$36/P$35))+(4.8904*N202))</f>
        <v>26.372707010868393</v>
      </c>
      <c r="I202" s="42">
        <f>((L$32^(J202-(0.6458446*LN(P$36))-(9.53942*N202*(P$36/P$35))+(4.8904*N202)))/1000)*$Z$71</f>
        <v>10.990561919709293</v>
      </c>
      <c r="J202" s="87">
        <v>4.7</v>
      </c>
      <c r="K202" s="56"/>
      <c r="L202" s="56"/>
      <c r="M202" s="83">
        <f t="shared" si="66"/>
        <v>72.816376633766353</v>
      </c>
      <c r="N202" s="10">
        <f t="shared" si="68"/>
        <v>0.56887794245129963</v>
      </c>
      <c r="O202" s="83"/>
      <c r="P202" s="83"/>
      <c r="Q202" s="89">
        <v>128</v>
      </c>
      <c r="R202" s="89"/>
      <c r="S202" s="5"/>
      <c r="T202" s="5"/>
      <c r="U202" s="5"/>
    </row>
    <row r="203" spans="1:22" x14ac:dyDescent="0.25">
      <c r="A203" s="82" t="s">
        <v>4</v>
      </c>
      <c r="B203" s="31">
        <v>44.3</v>
      </c>
      <c r="C203" s="10"/>
      <c r="D203" s="1">
        <v>8167</v>
      </c>
      <c r="E203" s="16"/>
      <c r="F203" s="5"/>
      <c r="G203" s="26">
        <f>(5.01*(B203^0.59)*Z$71)/(86.4*I$18)</f>
        <v>7.298030523142824</v>
      </c>
      <c r="H203" s="42">
        <f t="shared" ref="H203:H210" si="69">L$32^(J203-(0.6458446*LN(P$36))-(9.53942*N203*(P$36/P$35))+(4.8904*N203))</f>
        <v>20.405329110199197</v>
      </c>
      <c r="I203" s="42">
        <f t="shared" si="67"/>
        <v>8.5037168533844127</v>
      </c>
      <c r="J203" s="87">
        <v>4.7</v>
      </c>
      <c r="K203" s="56"/>
      <c r="L203" s="56"/>
      <c r="M203" s="83">
        <f t="shared" si="66"/>
        <v>-31.483623366233644</v>
      </c>
      <c r="N203" s="10">
        <f t="shared" si="68"/>
        <v>-0.25472187189509421</v>
      </c>
      <c r="O203" s="59"/>
      <c r="P203" s="59"/>
      <c r="Q203" s="89">
        <v>123.6</v>
      </c>
      <c r="R203" s="89"/>
      <c r="S203" s="5"/>
      <c r="T203" s="5"/>
      <c r="U203" s="5"/>
    </row>
    <row r="204" spans="1:22" x14ac:dyDescent="0.25">
      <c r="A204" s="82" t="s">
        <v>5</v>
      </c>
      <c r="B204" s="31">
        <v>26.4</v>
      </c>
      <c r="C204" s="10"/>
      <c r="D204" s="10">
        <v>4.67</v>
      </c>
      <c r="E204" s="16"/>
      <c r="F204" s="5"/>
      <c r="G204" s="26">
        <f>(5.01*(B204^0.59)*Z$71)/(86.4*I$19)</f>
        <v>5.5566652311681928</v>
      </c>
      <c r="H204" s="42">
        <f t="shared" si="69"/>
        <v>8.6249761177779618</v>
      </c>
      <c r="I204" s="42">
        <f t="shared" si="67"/>
        <v>3.5943725473227879</v>
      </c>
      <c r="J204" s="87">
        <v>3.9</v>
      </c>
      <c r="K204" s="56"/>
      <c r="L204" s="56"/>
      <c r="M204" s="83">
        <f t="shared" si="66"/>
        <v>-49.383623366233643</v>
      </c>
      <c r="N204" s="10">
        <f t="shared" si="68"/>
        <v>-0.45099199421217939</v>
      </c>
      <c r="O204" s="59"/>
      <c r="P204" s="59"/>
      <c r="Q204" s="89">
        <v>109.5</v>
      </c>
      <c r="R204" s="89"/>
      <c r="S204" s="5"/>
      <c r="T204" s="5"/>
      <c r="U204" s="5"/>
    </row>
    <row r="205" spans="1:22" x14ac:dyDescent="0.25">
      <c r="A205" s="82" t="s">
        <v>6</v>
      </c>
      <c r="B205" s="31">
        <v>0</v>
      </c>
      <c r="C205" s="10"/>
      <c r="D205" s="1">
        <v>1647</v>
      </c>
      <c r="E205" s="16"/>
      <c r="F205" s="5"/>
      <c r="G205" s="26">
        <f>(5.01*(B205^0.59)*Z$71)/(86.4*I$20)</f>
        <v>0</v>
      </c>
      <c r="H205" s="42">
        <f t="shared" si="69"/>
        <v>1.7707315130886756</v>
      </c>
      <c r="I205" s="42">
        <f t="shared" si="67"/>
        <v>0.73793465076457465</v>
      </c>
      <c r="J205" s="87">
        <v>2.4</v>
      </c>
      <c r="K205" s="56"/>
      <c r="L205" s="56"/>
      <c r="M205" s="83">
        <f t="shared" si="66"/>
        <v>-75.783623366233641</v>
      </c>
      <c r="N205" s="10">
        <f t="shared" si="68"/>
        <v>-0.71832818356619565</v>
      </c>
      <c r="O205" s="59"/>
      <c r="P205" s="59"/>
      <c r="Q205" s="89">
        <v>105.5</v>
      </c>
      <c r="R205" s="89"/>
      <c r="S205" s="5"/>
      <c r="T205" s="5"/>
      <c r="U205" s="5"/>
    </row>
    <row r="206" spans="1:22" x14ac:dyDescent="0.25">
      <c r="A206" s="82" t="s">
        <v>7</v>
      </c>
      <c r="B206" s="31">
        <v>4.4000000000000004</v>
      </c>
      <c r="C206" s="10"/>
      <c r="D206" s="10">
        <v>0.99399999999999999</v>
      </c>
      <c r="E206" s="16"/>
      <c r="F206" s="5"/>
      <c r="G206" s="26">
        <f>(5.01*(B206^0.59)*Z$71)/(86.4*I$21)</f>
        <v>1.8683771878032311</v>
      </c>
      <c r="H206" s="42">
        <f t="shared" si="69"/>
        <v>0.48770651450824604</v>
      </c>
      <c r="I206" s="42">
        <f t="shared" si="67"/>
        <v>0.20324681285616647</v>
      </c>
      <c r="J206" s="87">
        <v>1.1000000000000001</v>
      </c>
      <c r="K206" s="56"/>
      <c r="L206" s="56"/>
      <c r="M206" s="83">
        <f t="shared" si="66"/>
        <v>-71.383623366233635</v>
      </c>
      <c r="N206" s="10">
        <f t="shared" si="68"/>
        <v>-0.68440674368392751</v>
      </c>
      <c r="O206" s="60"/>
      <c r="P206" s="59"/>
      <c r="Q206" s="89">
        <v>104.3</v>
      </c>
      <c r="R206" s="89"/>
      <c r="S206" s="5"/>
      <c r="T206" s="5"/>
      <c r="U206" s="5"/>
    </row>
    <row r="207" spans="1:22" x14ac:dyDescent="0.25">
      <c r="A207" s="82" t="s">
        <v>8</v>
      </c>
      <c r="B207" s="31">
        <v>0</v>
      </c>
      <c r="C207" s="10"/>
      <c r="D207" s="10">
        <v>0.57299999999999995</v>
      </c>
      <c r="E207" s="16"/>
      <c r="F207" s="5"/>
      <c r="G207" s="26">
        <f>(5.01*(B207^0.59)*Z$71)/(86.4*I$22)</f>
        <v>0</v>
      </c>
      <c r="H207" s="42">
        <f t="shared" si="69"/>
        <v>0.47834419098065101</v>
      </c>
      <c r="I207" s="42">
        <f t="shared" si="67"/>
        <v>0.1993451581492765</v>
      </c>
      <c r="J207" s="87">
        <v>1.1000000000000001</v>
      </c>
      <c r="K207" s="56"/>
      <c r="L207" s="56"/>
      <c r="M207" s="83">
        <f t="shared" si="66"/>
        <v>-75.783623366233641</v>
      </c>
      <c r="N207" s="10">
        <f t="shared" si="68"/>
        <v>-0.74663668341116884</v>
      </c>
      <c r="O207" s="59"/>
      <c r="P207" s="59"/>
      <c r="Q207" s="89">
        <v>101.5</v>
      </c>
      <c r="R207" s="89"/>
      <c r="S207" s="5"/>
      <c r="T207" s="5"/>
      <c r="U207" s="5"/>
    </row>
    <row r="208" spans="1:22" ht="18.75" x14ac:dyDescent="0.3">
      <c r="A208" s="82" t="s">
        <v>9</v>
      </c>
      <c r="B208" s="31">
        <v>1.6</v>
      </c>
      <c r="C208" s="10"/>
      <c r="D208" s="10">
        <v>0.54400000000000004</v>
      </c>
      <c r="E208" s="16"/>
      <c r="F208" s="5"/>
      <c r="G208" s="26">
        <f>(5.01*(B208^0.59)*Z$71)/(86.4*I$23)</f>
        <v>1.0286278217844578</v>
      </c>
      <c r="H208" s="42">
        <f t="shared" si="69"/>
        <v>1.7899227051120192</v>
      </c>
      <c r="I208" s="42">
        <f>((L$32^(J208-(0.6458446*LN(P$36))-(9.53942*N208*(P$36/P$35))+(4.8904*N208)))/1000)*$Z$71</f>
        <v>0.74593238812838292</v>
      </c>
      <c r="J208" s="87">
        <v>2.4</v>
      </c>
      <c r="K208" s="56"/>
      <c r="L208" s="56"/>
      <c r="M208" s="83">
        <f t="shared" si="66"/>
        <v>-74.183623366233647</v>
      </c>
      <c r="N208" s="10">
        <f t="shared" si="68"/>
        <v>-0.68372003102519485</v>
      </c>
      <c r="O208" s="61"/>
      <c r="P208" s="62"/>
      <c r="Q208" s="89">
        <v>108.5</v>
      </c>
      <c r="R208" s="89"/>
      <c r="S208" s="5"/>
      <c r="T208" s="5"/>
      <c r="U208" s="5"/>
    </row>
    <row r="209" spans="1:21" x14ac:dyDescent="0.25">
      <c r="A209" s="82" t="s">
        <v>10</v>
      </c>
      <c r="B209" s="31">
        <v>1.1000000000000001</v>
      </c>
      <c r="C209" s="10"/>
      <c r="D209" s="10">
        <v>0.56200000000000006</v>
      </c>
      <c r="E209" s="16"/>
      <c r="F209" s="5"/>
      <c r="G209" s="26">
        <f>(5.01*(B209^0.59)*Z$71)/(86.4*I$24)</f>
        <v>0.85209810663542696</v>
      </c>
      <c r="H209" s="42">
        <f t="shared" si="69"/>
        <v>8.064220337167523</v>
      </c>
      <c r="I209" s="42">
        <f t="shared" si="67"/>
        <v>3.3606831833111936</v>
      </c>
      <c r="J209" s="87">
        <v>3.9</v>
      </c>
      <c r="K209" s="56"/>
      <c r="L209" s="56"/>
      <c r="M209" s="83">
        <f t="shared" si="66"/>
        <v>-74.683623366233647</v>
      </c>
      <c r="N209" s="10">
        <f t="shared" si="68"/>
        <v>-0.66681806576994329</v>
      </c>
      <c r="O209" s="62"/>
      <c r="P209" s="59"/>
      <c r="Q209" s="89">
        <v>112</v>
      </c>
      <c r="R209" s="89"/>
      <c r="S209" s="5"/>
      <c r="T209" s="5"/>
      <c r="U209" s="5"/>
    </row>
    <row r="210" spans="1:21" x14ac:dyDescent="0.25">
      <c r="A210" s="82" t="s">
        <v>11</v>
      </c>
      <c r="B210" s="31">
        <v>5.7</v>
      </c>
      <c r="C210" s="10"/>
      <c r="D210" s="1">
        <v>1151</v>
      </c>
      <c r="E210" s="16"/>
      <c r="F210" s="5"/>
      <c r="G210" s="26">
        <f>(5.01*(B210^0.59)*Z$71)/(86.4*I$25)</f>
        <v>2.1766752633836708</v>
      </c>
      <c r="H210" s="42">
        <f t="shared" si="69"/>
        <v>8.2959277933018072</v>
      </c>
      <c r="I210" s="42">
        <f t="shared" si="67"/>
        <v>3.4572449485805956</v>
      </c>
      <c r="J210" s="87">
        <v>3.9</v>
      </c>
      <c r="K210" s="56"/>
      <c r="L210" s="56"/>
      <c r="M210" s="83">
        <f t="shared" si="66"/>
        <v>-70.083623366233638</v>
      </c>
      <c r="N210" s="10">
        <f t="shared" si="68"/>
        <v>-0.57587200793947113</v>
      </c>
      <c r="O210" s="83"/>
      <c r="P210" s="83"/>
      <c r="Q210" s="89">
        <v>121.7</v>
      </c>
      <c r="R210" s="89"/>
      <c r="S210" s="5"/>
      <c r="T210" s="5"/>
      <c r="U210" s="5"/>
    </row>
    <row r="211" spans="1:21" x14ac:dyDescent="0.25">
      <c r="A211" s="82" t="s">
        <v>12</v>
      </c>
      <c r="B211" s="11">
        <v>1994</v>
      </c>
      <c r="C211" s="11">
        <v>1994</v>
      </c>
      <c r="D211" s="11">
        <v>1994</v>
      </c>
      <c r="E211" s="11">
        <v>1994</v>
      </c>
      <c r="F211" s="11">
        <v>1994</v>
      </c>
      <c r="G211" s="11">
        <v>1994</v>
      </c>
      <c r="H211" s="11">
        <v>1994</v>
      </c>
      <c r="I211" s="11">
        <v>1994</v>
      </c>
      <c r="J211" s="47" t="s">
        <v>70</v>
      </c>
      <c r="K211" s="27"/>
      <c r="L211" s="27"/>
      <c r="M211" s="39" t="s">
        <v>60</v>
      </c>
      <c r="N211" s="39" t="s">
        <v>73</v>
      </c>
      <c r="O211" s="105" t="s">
        <v>57</v>
      </c>
      <c r="P211" s="105"/>
      <c r="Q211" s="10"/>
      <c r="R211" s="10"/>
      <c r="S211" s="5"/>
      <c r="T211" s="5"/>
      <c r="U211" s="5"/>
    </row>
    <row r="212" spans="1:21" x14ac:dyDescent="0.25">
      <c r="A212" s="82" t="s">
        <v>0</v>
      </c>
      <c r="B212" s="31">
        <v>181</v>
      </c>
      <c r="D212" s="1">
        <v>13369</v>
      </c>
      <c r="E212" s="5"/>
      <c r="F212" s="5"/>
      <c r="G212" s="26">
        <f>(5.01*(B212^0.59)*Z$71)/(86.4*I$14)</f>
        <v>16.743946825273021</v>
      </c>
      <c r="H212" s="42">
        <f>L$32^(J212-(0.6458446*LN(P$36))-(9.53942*N212*(P$36/P$35))+(4.8904*N212))</f>
        <v>30.186487239056056</v>
      </c>
      <c r="I212" s="42">
        <f>((L$32^(J212-(0.6458446*LN(P$36))-(9.53942*N212*(P$36/P$35))+(4.8904*N212)))/1000)*$Z$71</f>
        <v>12.579916692004222</v>
      </c>
      <c r="J212" s="87">
        <v>4.7</v>
      </c>
      <c r="K212" s="56"/>
      <c r="L212" s="56"/>
      <c r="M212" s="83">
        <f t="shared" ref="M212:M223" si="70">(B212-(0.74*P$213))</f>
        <v>126.81658590938412</v>
      </c>
      <c r="N212" s="10">
        <f>M212/Q212</f>
        <v>1.002502655410151</v>
      </c>
      <c r="O212" s="50" t="s">
        <v>58</v>
      </c>
      <c r="P212" s="83">
        <f>(B212+B213+B214+B215+B216+B217+B218+B219+B220+B221+B222+B223)/12</f>
        <v>67.14166666666668</v>
      </c>
      <c r="Q212" s="89">
        <v>126.5</v>
      </c>
      <c r="R212" s="89"/>
      <c r="S212" s="5"/>
      <c r="T212" s="5"/>
      <c r="U212" s="5"/>
    </row>
    <row r="213" spans="1:21" x14ac:dyDescent="0.25">
      <c r="A213" s="82" t="s">
        <v>1</v>
      </c>
      <c r="B213" s="31">
        <v>160.1</v>
      </c>
      <c r="D213" s="10">
        <v>15.41</v>
      </c>
      <c r="E213" s="5"/>
      <c r="F213" s="5"/>
      <c r="G213" s="26">
        <f>(5.01*(B213^0.59)*Z$71)/(86.4*J$15)</f>
        <v>16.64876636091471</v>
      </c>
      <c r="H213" s="42">
        <f>L$32^(J213-(0.6458446*LN(P$36))-(9.53942*N213*(P$36/P$35))+(4.8904*N213))</f>
        <v>29.459418512243808</v>
      </c>
      <c r="I213" s="42">
        <f t="shared" ref="I213:I223" si="71">((L$32^(J213-(0.6458446*LN(P$36))-(9.53942*N213*(P$36/P$35))+(4.8904*N213)))/1000)*$Z$71</f>
        <v>12.276918070792485</v>
      </c>
      <c r="J213" s="87">
        <v>4.7</v>
      </c>
      <c r="K213" s="56"/>
      <c r="L213" s="56"/>
      <c r="M213" s="83">
        <f t="shared" si="70"/>
        <v>105.91658590938411</v>
      </c>
      <c r="N213" s="10">
        <f t="shared" ref="N213:N223" si="72">M213/Q213</f>
        <v>0.92422849833668508</v>
      </c>
      <c r="O213" s="50" t="s">
        <v>66</v>
      </c>
      <c r="P213" s="83">
        <f>((((B212-P212)^2+(B213-P212)^2+(B214-P212)^2+(B215-P212)^2+(B216-P212)^2+(B217-P212)^2+(B218-P212)^2+(B219-P212)^2+(B220-P212)^2+(B221-P212)^2+(B222-P212)^2+(B223-P212)^2))/(12-1))^0.5</f>
        <v>73.220829852183627</v>
      </c>
      <c r="Q213" s="89">
        <v>114.6</v>
      </c>
      <c r="R213" s="89"/>
      <c r="S213" s="5"/>
      <c r="T213" s="5"/>
      <c r="U213" s="5"/>
    </row>
    <row r="214" spans="1:21" x14ac:dyDescent="0.25">
      <c r="A214" s="82" t="s">
        <v>2</v>
      </c>
      <c r="B214" s="31">
        <v>170.5</v>
      </c>
      <c r="C214" s="5"/>
      <c r="D214" s="1">
        <v>15336</v>
      </c>
      <c r="E214" s="5"/>
      <c r="F214" s="5"/>
      <c r="G214" s="26">
        <f>(5.01*(B214^0.59)*Z$71)/(86.4*I$16)</f>
        <v>16.163851918950193</v>
      </c>
      <c r="H214" s="42">
        <f>L$32^(J214-(0.6458446*LN(P$36))-(9.53942*N214*(P$36/P$35))+(4.8904*N214))</f>
        <v>29.165155156455192</v>
      </c>
      <c r="I214" s="42">
        <f t="shared" si="71"/>
        <v>12.154286759901137</v>
      </c>
      <c r="J214" s="87">
        <v>4.7</v>
      </c>
      <c r="K214" s="56"/>
      <c r="L214" s="58"/>
      <c r="M214" s="83">
        <f t="shared" si="70"/>
        <v>116.31658590938412</v>
      </c>
      <c r="N214" s="10">
        <f t="shared" si="72"/>
        <v>0.89199835820079842</v>
      </c>
      <c r="O214" s="83"/>
      <c r="P214" s="83"/>
      <c r="Q214" s="89">
        <v>130.4</v>
      </c>
      <c r="R214" s="89"/>
      <c r="S214" s="5"/>
      <c r="T214" s="5"/>
      <c r="U214" s="5"/>
    </row>
    <row r="215" spans="1:21" x14ac:dyDescent="0.25">
      <c r="A215" s="82" t="s">
        <v>3</v>
      </c>
      <c r="B215" s="31">
        <v>90</v>
      </c>
      <c r="C215" s="5"/>
      <c r="D215" s="1">
        <v>11377</v>
      </c>
      <c r="E215" s="5"/>
      <c r="F215" s="5"/>
      <c r="G215" s="26">
        <f>(5.01*(B215^0.59)*Z$71)/(86.4*I$17)</f>
        <v>11.457002203754502</v>
      </c>
      <c r="H215" s="42">
        <f>L$32^(J215-(0.6458446*LN(P$36))-(9.53942*N215*(P$36/P$35))+(4.8904*N215))</f>
        <v>24.101966490811964</v>
      </c>
      <c r="I215" s="42">
        <f>((L$32^(J215-(0.6458446*LN(P$36))-(9.53942*N215*(P$36/P$35))+(4.8904*N215)))/1000)*$Z$71</f>
        <v>10.044253515380978</v>
      </c>
      <c r="J215" s="87">
        <v>4.7</v>
      </c>
      <c r="K215" s="56"/>
      <c r="L215" s="56"/>
      <c r="M215" s="83">
        <f t="shared" si="70"/>
        <v>35.816585909384116</v>
      </c>
      <c r="N215" s="10">
        <f t="shared" si="72"/>
        <v>0.27981707741706341</v>
      </c>
      <c r="O215" s="83"/>
      <c r="P215" s="83"/>
      <c r="Q215" s="89">
        <v>128</v>
      </c>
      <c r="R215" s="89"/>
      <c r="S215" s="5"/>
      <c r="T215" s="5"/>
      <c r="U215" s="5"/>
    </row>
    <row r="216" spans="1:21" x14ac:dyDescent="0.25">
      <c r="A216" s="82" t="s">
        <v>4</v>
      </c>
      <c r="B216" s="31">
        <v>94.9</v>
      </c>
      <c r="C216" s="5"/>
      <c r="D216" s="10">
        <v>10.37</v>
      </c>
      <c r="E216" s="5"/>
      <c r="F216" s="5"/>
      <c r="G216" s="26">
        <f>(5.01*(B216^0.59)*Z$71)/(86.4*I$18)</f>
        <v>11.43969754533193</v>
      </c>
      <c r="H216" s="42">
        <f t="shared" ref="H216:H223" si="73">L$32^(J216-(0.6458446*LN(P$36))-(9.53942*N216*(P$36/P$35))+(4.8904*N216))</f>
        <v>24.477256089734219</v>
      </c>
      <c r="I216" s="42">
        <f t="shared" si="71"/>
        <v>10.200651702835838</v>
      </c>
      <c r="J216" s="87">
        <v>4.7</v>
      </c>
      <c r="K216" s="56"/>
      <c r="L216" s="56"/>
      <c r="M216" s="83">
        <f t="shared" si="70"/>
        <v>40.716585909384122</v>
      </c>
      <c r="N216" s="10">
        <f t="shared" si="72"/>
        <v>0.32942221609534078</v>
      </c>
      <c r="O216" s="59"/>
      <c r="P216" s="59"/>
      <c r="Q216" s="89">
        <v>123.6</v>
      </c>
      <c r="R216" s="89"/>
      <c r="S216" s="5"/>
      <c r="T216" s="5"/>
      <c r="U216" s="5"/>
    </row>
    <row r="217" spans="1:21" x14ac:dyDescent="0.25">
      <c r="A217" s="82" t="s">
        <v>5</v>
      </c>
      <c r="B217" s="31">
        <v>13.7</v>
      </c>
      <c r="C217" s="5"/>
      <c r="D217" s="1">
        <v>4581</v>
      </c>
      <c r="E217" s="5"/>
      <c r="F217" s="5"/>
      <c r="G217" s="26">
        <f>(5.01*(B217^0.59)*Z$71)/(86.4*I$19)</f>
        <v>3.7734017861143836</v>
      </c>
      <c r="H217" s="42">
        <f t="shared" si="73"/>
        <v>8.846123128624706</v>
      </c>
      <c r="I217" s="42">
        <f t="shared" si="71"/>
        <v>3.6865333526230599</v>
      </c>
      <c r="J217" s="87">
        <v>3.9</v>
      </c>
      <c r="K217" s="56"/>
      <c r="L217" s="56"/>
      <c r="M217" s="83">
        <f t="shared" si="70"/>
        <v>-40.483414090615881</v>
      </c>
      <c r="N217" s="10">
        <f t="shared" si="72"/>
        <v>-0.36971154420653773</v>
      </c>
      <c r="O217" s="59"/>
      <c r="P217" s="59"/>
      <c r="Q217" s="89">
        <v>109.5</v>
      </c>
      <c r="R217" s="89"/>
      <c r="S217" s="5"/>
      <c r="T217" s="5"/>
      <c r="U217" s="5"/>
    </row>
    <row r="218" spans="1:21" x14ac:dyDescent="0.25">
      <c r="A218" s="82" t="s">
        <v>6</v>
      </c>
      <c r="B218" s="31">
        <v>0.1</v>
      </c>
      <c r="C218" s="5"/>
      <c r="D218" s="10">
        <v>1.25</v>
      </c>
      <c r="E218" s="5"/>
      <c r="F218" s="5"/>
      <c r="G218" s="26">
        <f>(5.01*(B218^0.59)*Z$71)/(86.4*I$20)</f>
        <v>0.20036759109694574</v>
      </c>
      <c r="H218" s="42">
        <f t="shared" si="73"/>
        <v>1.8878912858938344</v>
      </c>
      <c r="I218" s="42">
        <f t="shared" si="71"/>
        <v>0.78675981448339649</v>
      </c>
      <c r="J218" s="87">
        <v>2.4</v>
      </c>
      <c r="K218" s="56"/>
      <c r="L218" s="56"/>
      <c r="M218" s="83">
        <f t="shared" si="70"/>
        <v>-54.083414090615882</v>
      </c>
      <c r="N218" s="10">
        <f t="shared" si="72"/>
        <v>-0.51263899611958186</v>
      </c>
      <c r="O218" s="59"/>
      <c r="P218" s="59"/>
      <c r="Q218" s="89">
        <v>105.5</v>
      </c>
      <c r="R218" s="89"/>
      <c r="S218" s="5"/>
      <c r="T218" s="5"/>
      <c r="U218" s="5"/>
    </row>
    <row r="219" spans="1:21" x14ac:dyDescent="0.25">
      <c r="A219" s="82" t="s">
        <v>7</v>
      </c>
      <c r="B219" s="31">
        <v>0</v>
      </c>
      <c r="C219" s="5"/>
      <c r="D219" s="10">
        <v>0.36699999999999999</v>
      </c>
      <c r="E219" s="5"/>
      <c r="F219" s="5"/>
      <c r="G219" s="26">
        <f>(5.01*(B219^0.59)*Z$71)/(86.4*I$21)</f>
        <v>0</v>
      </c>
      <c r="H219" s="42">
        <f t="shared" si="73"/>
        <v>0.51341270283454654</v>
      </c>
      <c r="I219" s="42">
        <f t="shared" si="71"/>
        <v>0.21395960977926892</v>
      </c>
      <c r="J219" s="87">
        <v>1.1000000000000001</v>
      </c>
      <c r="K219" s="56"/>
      <c r="L219" s="56"/>
      <c r="M219" s="83">
        <f t="shared" si="70"/>
        <v>-54.183414090615884</v>
      </c>
      <c r="N219" s="10">
        <f t="shared" si="72"/>
        <v>-0.51949582061951949</v>
      </c>
      <c r="O219" s="60"/>
      <c r="P219" s="59"/>
      <c r="Q219" s="89">
        <v>104.3</v>
      </c>
      <c r="R219" s="89"/>
      <c r="S219" s="5"/>
      <c r="T219" s="5"/>
      <c r="U219" s="5"/>
    </row>
    <row r="220" spans="1:21" x14ac:dyDescent="0.25">
      <c r="A220" s="82" t="s">
        <v>8</v>
      </c>
      <c r="B220" s="31">
        <v>0.6</v>
      </c>
      <c r="C220" s="5"/>
      <c r="D220" s="10">
        <v>0.30399999999999999</v>
      </c>
      <c r="E220" s="5"/>
      <c r="F220" s="5"/>
      <c r="G220" s="26">
        <f>(5.01*(B220^0.59)*Z$71)/(86.4*I$22)</f>
        <v>0.59590517063119841</v>
      </c>
      <c r="H220" s="42">
        <f t="shared" si="73"/>
        <v>0.51206803165831949</v>
      </c>
      <c r="I220" s="42">
        <f t="shared" si="71"/>
        <v>0.21339923151328807</v>
      </c>
      <c r="J220" s="87">
        <v>1.1000000000000001</v>
      </c>
      <c r="K220" s="56"/>
      <c r="L220" s="56"/>
      <c r="M220" s="83">
        <f t="shared" si="70"/>
        <v>-53.583414090615882</v>
      </c>
      <c r="N220" s="10">
        <f t="shared" si="72"/>
        <v>-0.52791540975976237</v>
      </c>
      <c r="O220" s="59"/>
      <c r="P220" s="59"/>
      <c r="Q220" s="89">
        <v>101.5</v>
      </c>
      <c r="R220" s="89"/>
      <c r="S220" s="5"/>
      <c r="T220" s="5"/>
      <c r="U220" s="5"/>
    </row>
    <row r="221" spans="1:21" ht="18.75" x14ac:dyDescent="0.3">
      <c r="A221" s="82" t="s">
        <v>9</v>
      </c>
      <c r="B221" s="31">
        <v>3.7</v>
      </c>
      <c r="C221" s="5"/>
      <c r="D221" s="10">
        <v>0.89100000000000001</v>
      </c>
      <c r="E221" s="5"/>
      <c r="F221" s="5"/>
      <c r="G221" s="26">
        <f>(5.01*(B221^0.59)*Z$71)/(86.4*I$23)</f>
        <v>1.6868112706398282</v>
      </c>
      <c r="H221" s="42">
        <f t="shared" si="73"/>
        <v>1.9159436244052743</v>
      </c>
      <c r="I221" s="42">
        <f>((L$32^(J221-(0.6458446*LN(P$36))-(9.53942*N221*(P$36/P$35))+(4.8904*N221)))/1000)*$Z$71</f>
        <v>0.79845034603465403</v>
      </c>
      <c r="J221" s="87">
        <v>2.4</v>
      </c>
      <c r="K221" s="56"/>
      <c r="L221" s="56"/>
      <c r="M221" s="83">
        <f t="shared" si="70"/>
        <v>-50.483414090615881</v>
      </c>
      <c r="N221" s="10">
        <f t="shared" si="72"/>
        <v>-0.4652849224941556</v>
      </c>
      <c r="O221" s="61"/>
      <c r="P221" s="62"/>
      <c r="Q221" s="89">
        <v>108.5</v>
      </c>
      <c r="R221" s="89"/>
      <c r="S221" s="5"/>
      <c r="T221" s="5"/>
      <c r="U221" s="5"/>
    </row>
    <row r="222" spans="1:21" x14ac:dyDescent="0.25">
      <c r="A222" s="82" t="s">
        <v>10</v>
      </c>
      <c r="B222" s="31">
        <v>0</v>
      </c>
      <c r="C222" s="5"/>
      <c r="D222" s="10">
        <v>0.52100000000000002</v>
      </c>
      <c r="E222" s="5"/>
      <c r="F222" s="5"/>
      <c r="G222" s="26">
        <f>(5.01*(B222^0.59)*Z$71)/(86.4*I$24)</f>
        <v>0</v>
      </c>
      <c r="H222" s="42">
        <f t="shared" si="73"/>
        <v>8.5373383273400325</v>
      </c>
      <c r="I222" s="42">
        <f t="shared" si="71"/>
        <v>3.5578503745356849</v>
      </c>
      <c r="J222" s="87">
        <v>3.9</v>
      </c>
      <c r="K222" s="56"/>
      <c r="L222" s="56"/>
      <c r="M222" s="83">
        <f t="shared" si="70"/>
        <v>-54.183414090615884</v>
      </c>
      <c r="N222" s="10">
        <f>M222/Q222</f>
        <v>-0.48378048295192755</v>
      </c>
      <c r="O222" s="10"/>
      <c r="P222" s="83"/>
      <c r="Q222" s="89">
        <v>112</v>
      </c>
      <c r="R222" s="89"/>
      <c r="S222" s="5"/>
      <c r="T222" s="5"/>
      <c r="U222" s="5"/>
    </row>
    <row r="223" spans="1:21" x14ac:dyDescent="0.25">
      <c r="A223" s="82" t="s">
        <v>11</v>
      </c>
      <c r="B223" s="31">
        <v>91.1</v>
      </c>
      <c r="C223" s="5"/>
      <c r="D223" s="10">
        <v>8.3000000000000007</v>
      </c>
      <c r="E223" s="5"/>
      <c r="F223" s="5"/>
      <c r="G223" s="26">
        <f>(5.01*(B223^0.59)*Z$71)/(86.4*I$25)</f>
        <v>11.167174932390587</v>
      </c>
      <c r="H223" s="42">
        <f t="shared" si="73"/>
        <v>10.909354069924076</v>
      </c>
      <c r="I223" s="42">
        <f t="shared" si="71"/>
        <v>4.5463642151001595</v>
      </c>
      <c r="J223" s="87">
        <v>3.9</v>
      </c>
      <c r="K223" s="56"/>
      <c r="L223" s="56"/>
      <c r="M223" s="83">
        <f t="shared" si="70"/>
        <v>36.916585909384111</v>
      </c>
      <c r="N223" s="10">
        <f t="shared" si="72"/>
        <v>0.30334088668351777</v>
      </c>
      <c r="O223" s="83"/>
      <c r="P223" s="83"/>
      <c r="Q223" s="89">
        <v>121.7</v>
      </c>
      <c r="R223" s="89"/>
      <c r="S223" s="5"/>
      <c r="T223" s="5"/>
      <c r="U223" s="5"/>
    </row>
    <row r="224" spans="1:21" x14ac:dyDescent="0.25">
      <c r="A224" s="82" t="s">
        <v>12</v>
      </c>
      <c r="B224" s="11">
        <v>1995</v>
      </c>
      <c r="C224" s="11">
        <v>1995</v>
      </c>
      <c r="D224" s="11">
        <v>1995</v>
      </c>
      <c r="E224" s="11">
        <v>1995</v>
      </c>
      <c r="F224" s="11">
        <v>1995</v>
      </c>
      <c r="G224" s="11">
        <v>1995</v>
      </c>
      <c r="H224" s="11">
        <v>1995</v>
      </c>
      <c r="I224" s="11">
        <v>1995</v>
      </c>
      <c r="J224" s="47" t="s">
        <v>70</v>
      </c>
      <c r="K224" s="27"/>
      <c r="L224" s="27"/>
      <c r="M224" s="39" t="s">
        <v>60</v>
      </c>
      <c r="N224" s="39" t="s">
        <v>73</v>
      </c>
      <c r="O224" s="105" t="s">
        <v>57</v>
      </c>
      <c r="P224" s="105"/>
      <c r="Q224" s="10"/>
      <c r="R224" s="10"/>
      <c r="S224" s="5"/>
      <c r="T224" s="5"/>
      <c r="U224" s="5"/>
    </row>
    <row r="225" spans="1:21" x14ac:dyDescent="0.25">
      <c r="A225" s="82" t="s">
        <v>0</v>
      </c>
      <c r="B225" s="31">
        <v>173.2</v>
      </c>
      <c r="C225" s="5"/>
      <c r="D225" s="1">
        <v>14482</v>
      </c>
      <c r="E225" s="5"/>
      <c r="F225" s="5"/>
      <c r="G225" s="26">
        <f>(5.01*(B225^0.59)*Z$71)/(86.4*I$14)</f>
        <v>16.314385892347122</v>
      </c>
      <c r="H225" s="42">
        <f>L$32^(J225-(0.6458446*LN(P$36))-(9.53942*N225*(P$36/P$35))+(4.8904*N225))</f>
        <v>29.50450858693997</v>
      </c>
      <c r="I225" s="42">
        <f>((L$32^(J225-(0.6458446*LN(P$36))-(9.53942*N225*(P$36/P$35))+(4.8904*N225)))/1000)*$Z$71</f>
        <v>12.295708908521364</v>
      </c>
      <c r="J225" s="87">
        <v>4.7</v>
      </c>
      <c r="K225" s="56"/>
      <c r="L225" s="56"/>
      <c r="M225" s="83">
        <f t="shared" ref="M225:M236" si="74">(B225-(0.74*P$226))</f>
        <v>117.53604178889833</v>
      </c>
      <c r="N225" s="10">
        <f>M225/Q225</f>
        <v>0.92913867026797103</v>
      </c>
      <c r="O225" s="50" t="s">
        <v>58</v>
      </c>
      <c r="P225" s="83">
        <f>(B225+B226+B227+B228+B229+B230+B231+B232+B233+B234+B235+B236)/12</f>
        <v>48.874999999999993</v>
      </c>
      <c r="Q225" s="89">
        <v>126.5</v>
      </c>
      <c r="R225" s="89"/>
      <c r="S225" s="5"/>
      <c r="T225" s="5"/>
      <c r="U225" s="5"/>
    </row>
    <row r="226" spans="1:21" x14ac:dyDescent="0.25">
      <c r="A226" s="82" t="s">
        <v>1</v>
      </c>
      <c r="B226" s="31">
        <v>212.2</v>
      </c>
      <c r="C226" s="5"/>
      <c r="D226" s="10">
        <v>17.72</v>
      </c>
      <c r="E226" s="5"/>
      <c r="F226" s="5"/>
      <c r="G226" s="26">
        <f>(5.01*(B226^0.59)*Z$71)/(86.4*J$15)</f>
        <v>19.659431129801856</v>
      </c>
      <c r="H226" s="42">
        <f>L$32^(J226-(0.6458446*LN(P$36))-(9.53942*N226*(P$36/P$35))+(4.8904*N226))</f>
        <v>33.804550046954425</v>
      </c>
      <c r="I226" s="42">
        <f t="shared" ref="I226:I236" si="75">((L$32^(J226-(0.6458446*LN(P$36))-(9.53942*N226*(P$36/P$35))+(4.8904*N226)))/1000)*$Z$71</f>
        <v>14.087708186567786</v>
      </c>
      <c r="J226" s="87">
        <v>4.7</v>
      </c>
      <c r="K226" s="56"/>
      <c r="L226" s="56"/>
      <c r="M226" s="83">
        <f t="shared" si="74"/>
        <v>156.53604178889833</v>
      </c>
      <c r="N226" s="10">
        <f t="shared" ref="N226:N236" si="76">M226/Q226</f>
        <v>1.3659340470235457</v>
      </c>
      <c r="O226" s="50" t="s">
        <v>66</v>
      </c>
      <c r="P226" s="83">
        <f>((((B225-P225)^2+(B226-P225)^2+(B227-P225)^2+(B228-P225)^2+(B229-P225)^2+(B230-P225)^2+(B231-P225)^2+(B232-P225)^2+(B233-P225)^2+(B234-P225)^2+(B235-P225)^2+(B236-P225)^2))/(12-1))^0.5</f>
        <v>75.22156515013738</v>
      </c>
      <c r="Q226" s="89">
        <v>114.6</v>
      </c>
      <c r="R226" s="89"/>
      <c r="S226" s="5"/>
      <c r="T226" s="5"/>
      <c r="U226" s="5"/>
    </row>
    <row r="227" spans="1:21" x14ac:dyDescent="0.25">
      <c r="A227" s="82" t="s">
        <v>2</v>
      </c>
      <c r="B227" s="31">
        <v>61.8</v>
      </c>
      <c r="C227" s="5"/>
      <c r="D227" s="1">
        <v>10225</v>
      </c>
      <c r="E227" s="5"/>
      <c r="F227" s="5"/>
      <c r="G227" s="26">
        <f>(5.01*(B227^0.59)*Z$71)/(86.4*I$16)</f>
        <v>8.8819981268513377</v>
      </c>
      <c r="H227" s="42">
        <f>L$32^(J227-(0.6458446*LN(P$36))-(9.53942*N227*(P$36/P$35))+(4.8904*N227))</f>
        <v>22.41640913940228</v>
      </c>
      <c r="I227" s="42">
        <f t="shared" si="75"/>
        <v>9.341814344754507</v>
      </c>
      <c r="J227" s="87">
        <v>4.7</v>
      </c>
      <c r="K227" s="56"/>
      <c r="L227" s="58"/>
      <c r="M227" s="83">
        <f t="shared" si="74"/>
        <v>6.1360417888983392</v>
      </c>
      <c r="N227" s="10">
        <f t="shared" si="76"/>
        <v>4.7055535190938184E-2</v>
      </c>
      <c r="O227" s="83"/>
      <c r="P227" s="83"/>
      <c r="Q227" s="89">
        <v>130.4</v>
      </c>
      <c r="R227" s="89"/>
      <c r="S227" s="5"/>
      <c r="T227" s="5"/>
      <c r="U227" s="5"/>
    </row>
    <row r="228" spans="1:21" x14ac:dyDescent="0.25">
      <c r="A228" s="82" t="s">
        <v>3</v>
      </c>
      <c r="B228" s="31">
        <v>108.8</v>
      </c>
      <c r="C228" s="5"/>
      <c r="D228" s="1">
        <v>10662</v>
      </c>
      <c r="E228" s="5"/>
      <c r="F228" s="5"/>
      <c r="G228" s="26">
        <f>(5.01*(B228^0.59)*Z$71)/(86.4*I$17)</f>
        <v>12.813830188186815</v>
      </c>
      <c r="H228" s="42">
        <f>L$32^(J228-(0.6458446*LN(P$36))-(9.53942*N228*(P$36/P$35))+(4.8904*N228))</f>
        <v>25.139467743022088</v>
      </c>
      <c r="I228" s="42">
        <f>((L$32^(J228-(0.6458446*LN(P$36))-(9.53942*N228*(P$36/P$35))+(4.8904*N228)))/1000)*$Z$71</f>
        <v>10.476621787227025</v>
      </c>
      <c r="J228" s="87">
        <v>4.7</v>
      </c>
      <c r="K228" s="56"/>
      <c r="L228" s="56"/>
      <c r="M228" s="83">
        <f t="shared" si="74"/>
        <v>53.136041788898339</v>
      </c>
      <c r="N228" s="10">
        <f t="shared" si="76"/>
        <v>0.41512532647576827</v>
      </c>
      <c r="O228" s="83"/>
      <c r="P228" s="83"/>
      <c r="Q228" s="89">
        <v>128</v>
      </c>
      <c r="R228" s="89"/>
      <c r="S228" s="5"/>
      <c r="T228" s="5"/>
      <c r="U228" s="5"/>
    </row>
    <row r="229" spans="1:21" x14ac:dyDescent="0.25">
      <c r="A229" s="82" t="s">
        <v>4</v>
      </c>
      <c r="B229" s="31">
        <v>11.1</v>
      </c>
      <c r="C229" s="5"/>
      <c r="D229" s="1">
        <v>4507</v>
      </c>
      <c r="E229" s="5"/>
      <c r="F229" s="5"/>
      <c r="G229" s="26">
        <f>(5.01*(B229^0.59)*Z$71)/(86.4*I$18)</f>
        <v>3.2252845368984082</v>
      </c>
      <c r="H229" s="42">
        <f t="shared" ref="H229:H236" si="77">L$32^(J229-(0.6458446*LN(P$36))-(9.53942*N229*(P$36/P$35))+(4.8904*N229))</f>
        <v>19.74367084650186</v>
      </c>
      <c r="I229" s="42">
        <f t="shared" si="75"/>
        <v>8.2279773885711851</v>
      </c>
      <c r="J229" s="87">
        <v>4.7</v>
      </c>
      <c r="K229" s="56"/>
      <c r="L229" s="56"/>
      <c r="M229" s="83">
        <f t="shared" si="74"/>
        <v>-44.563958211101657</v>
      </c>
      <c r="N229" s="10">
        <f t="shared" si="76"/>
        <v>-0.36054982371441474</v>
      </c>
      <c r="O229" s="59"/>
      <c r="P229" s="59"/>
      <c r="Q229" s="89">
        <v>123.6</v>
      </c>
      <c r="R229" s="89"/>
      <c r="S229" s="5"/>
      <c r="T229" s="5"/>
      <c r="U229" s="5"/>
    </row>
    <row r="230" spans="1:21" x14ac:dyDescent="0.25">
      <c r="A230" s="82" t="s">
        <v>5</v>
      </c>
      <c r="B230" s="31">
        <v>4.3</v>
      </c>
      <c r="C230" s="5"/>
      <c r="D230" s="1">
        <v>1554</v>
      </c>
      <c r="E230" s="5"/>
      <c r="F230" s="5"/>
      <c r="G230" s="26">
        <f>(5.01*(B230^0.59)*Z$71)/(86.4*I$19)</f>
        <v>1.9046461573624307</v>
      </c>
      <c r="H230" s="42">
        <f t="shared" si="77"/>
        <v>8.5765267968416534</v>
      </c>
      <c r="I230" s="42">
        <f t="shared" si="75"/>
        <v>3.5741817773157902</v>
      </c>
      <c r="J230" s="87">
        <v>3.9</v>
      </c>
      <c r="K230" s="56"/>
      <c r="L230" s="56"/>
      <c r="M230" s="83">
        <f t="shared" si="74"/>
        <v>-51.363958211101661</v>
      </c>
      <c r="N230" s="10">
        <f t="shared" si="76"/>
        <v>-0.46907724393700145</v>
      </c>
      <c r="O230" s="59"/>
      <c r="P230" s="59"/>
      <c r="Q230" s="89">
        <v>109.5</v>
      </c>
      <c r="R230" s="89"/>
      <c r="S230" s="5"/>
      <c r="T230" s="5"/>
      <c r="U230" s="5"/>
    </row>
    <row r="231" spans="1:21" x14ac:dyDescent="0.25">
      <c r="A231" s="82" t="s">
        <v>6</v>
      </c>
      <c r="B231" s="31">
        <v>7.3</v>
      </c>
      <c r="C231" s="5"/>
      <c r="D231" s="1">
        <v>1521</v>
      </c>
      <c r="E231" s="5"/>
      <c r="F231" s="5"/>
      <c r="G231" s="26">
        <f>(5.01*(B231^0.59)*Z$71)/(86.4*I$20)</f>
        <v>2.5187668244041732</v>
      </c>
      <c r="H231" s="42">
        <f t="shared" si="77"/>
        <v>1.9200411475441812</v>
      </c>
      <c r="I231" s="42">
        <f t="shared" si="75"/>
        <v>0.80015794782756211</v>
      </c>
      <c r="J231" s="87">
        <v>2.4</v>
      </c>
      <c r="K231" s="56"/>
      <c r="L231" s="56"/>
      <c r="M231" s="83">
        <f t="shared" si="74"/>
        <v>-48.363958211101661</v>
      </c>
      <c r="N231" s="10">
        <f t="shared" si="76"/>
        <v>-0.45842614418105837</v>
      </c>
      <c r="O231" s="59"/>
      <c r="P231" s="59"/>
      <c r="Q231" s="89">
        <v>105.5</v>
      </c>
      <c r="R231" s="89"/>
      <c r="S231" s="5"/>
      <c r="T231" s="5"/>
      <c r="U231" s="5"/>
    </row>
    <row r="232" spans="1:21" x14ac:dyDescent="0.25">
      <c r="A232" s="82" t="s">
        <v>7</v>
      </c>
      <c r="B232" s="31">
        <v>3.9</v>
      </c>
      <c r="C232" s="5"/>
      <c r="D232" s="1">
        <v>1235</v>
      </c>
      <c r="E232" s="5"/>
      <c r="F232" s="5"/>
      <c r="G232" s="26">
        <f>(5.01*(B232^0.59)*Z$71)/(86.4*I$21)</f>
        <v>1.7400254286628019</v>
      </c>
      <c r="H232" s="42">
        <f t="shared" si="77"/>
        <v>0.51713574420122554</v>
      </c>
      <c r="I232" s="42">
        <f t="shared" si="75"/>
        <v>0.21551115003841875</v>
      </c>
      <c r="J232" s="87">
        <v>1.1000000000000001</v>
      </c>
      <c r="K232" s="56"/>
      <c r="L232" s="56"/>
      <c r="M232" s="83">
        <f t="shared" si="74"/>
        <v>-51.763958211101659</v>
      </c>
      <c r="N232" s="10">
        <f t="shared" si="76"/>
        <v>-0.49629873644392769</v>
      </c>
      <c r="O232" s="60"/>
      <c r="P232" s="59"/>
      <c r="Q232" s="89">
        <v>104.3</v>
      </c>
      <c r="R232" s="89"/>
      <c r="S232" s="5"/>
      <c r="T232" s="5"/>
      <c r="U232" s="5"/>
    </row>
    <row r="233" spans="1:21" x14ac:dyDescent="0.25">
      <c r="A233" s="82" t="s">
        <v>8</v>
      </c>
      <c r="B233" s="31">
        <v>0.3</v>
      </c>
      <c r="C233" s="5"/>
      <c r="D233" s="10">
        <v>0.60799999999999998</v>
      </c>
      <c r="E233" s="5"/>
      <c r="F233" s="5"/>
      <c r="G233" s="26">
        <f>(5.01*(B233^0.59)*Z$71)/(86.4*I$22)</f>
        <v>0.3958853733822173</v>
      </c>
      <c r="H233" s="42">
        <f t="shared" si="77"/>
        <v>0.50927769674438916</v>
      </c>
      <c r="I233" s="42">
        <f t="shared" si="75"/>
        <v>0.21223638734125677</v>
      </c>
      <c r="J233" s="87">
        <v>1.1000000000000001</v>
      </c>
      <c r="K233" s="56"/>
      <c r="L233" s="56"/>
      <c r="M233" s="83">
        <f t="shared" si="74"/>
        <v>-55.363958211101661</v>
      </c>
      <c r="N233" s="10">
        <f t="shared" si="76"/>
        <v>-0.54545771636553364</v>
      </c>
      <c r="O233" s="59"/>
      <c r="P233" s="59"/>
      <c r="Q233" s="89">
        <v>101.5</v>
      </c>
      <c r="R233" s="89"/>
      <c r="S233" s="5"/>
      <c r="T233" s="5"/>
      <c r="U233" s="5"/>
    </row>
    <row r="234" spans="1:21" ht="18.75" x14ac:dyDescent="0.3">
      <c r="A234" s="82" t="s">
        <v>9</v>
      </c>
      <c r="B234" s="31">
        <v>0</v>
      </c>
      <c r="C234" s="5"/>
      <c r="D234" s="10">
        <v>0.153</v>
      </c>
      <c r="E234" s="5"/>
      <c r="F234" s="5"/>
      <c r="G234" s="26">
        <f>(5.01*(B234^0.59)*Z$71)/(86.4*I$23)</f>
        <v>0</v>
      </c>
      <c r="H234" s="42">
        <f t="shared" si="77"/>
        <v>1.88766027379741</v>
      </c>
      <c r="I234" s="42">
        <f>((L$32^(J234-(0.6458446*LN(P$36))-(9.53942*N234*(P$36/P$35))+(4.8904*N234)))/1000)*$Z$71</f>
        <v>0.78666354250233261</v>
      </c>
      <c r="J234" s="87">
        <v>2.4</v>
      </c>
      <c r="K234" s="56"/>
      <c r="L234" s="56"/>
      <c r="M234" s="83">
        <f t="shared" si="74"/>
        <v>-55.663958211101658</v>
      </c>
      <c r="N234" s="10">
        <f t="shared" si="76"/>
        <v>-0.51303187291337937</v>
      </c>
      <c r="O234" s="61"/>
      <c r="P234" s="62"/>
      <c r="Q234" s="89">
        <v>108.5</v>
      </c>
      <c r="R234" s="89"/>
      <c r="S234" s="5"/>
      <c r="T234" s="5"/>
      <c r="U234" s="5"/>
    </row>
    <row r="235" spans="1:21" x14ac:dyDescent="0.25">
      <c r="A235" s="82" t="s">
        <v>10</v>
      </c>
      <c r="B235" s="31">
        <v>0.1</v>
      </c>
      <c r="C235" s="5"/>
      <c r="D235" s="10">
        <v>0.112</v>
      </c>
      <c r="E235" s="5"/>
      <c r="F235" s="5"/>
      <c r="G235" s="26">
        <f>(5.01*(B235^0.59)*Z$71)/(86.4*I$24)</f>
        <v>0.20704651080017727</v>
      </c>
      <c r="H235" s="42">
        <f t="shared" si="77"/>
        <v>8.5046231519190769</v>
      </c>
      <c r="I235" s="42">
        <f t="shared" si="75"/>
        <v>3.5442166523307566</v>
      </c>
      <c r="J235" s="87">
        <v>3.9</v>
      </c>
      <c r="K235" s="56"/>
      <c r="L235" s="56"/>
      <c r="M235" s="83">
        <f t="shared" si="74"/>
        <v>-55.563958211101657</v>
      </c>
      <c r="N235" s="10">
        <f t="shared" si="76"/>
        <v>-0.49610676974197909</v>
      </c>
      <c r="O235" s="62"/>
      <c r="P235" s="59"/>
      <c r="Q235" s="89">
        <v>112</v>
      </c>
      <c r="R235" s="89"/>
      <c r="S235" s="5"/>
      <c r="T235" s="5"/>
      <c r="U235" s="5"/>
    </row>
    <row r="236" spans="1:21" x14ac:dyDescent="0.25">
      <c r="A236" s="82" t="s">
        <v>11</v>
      </c>
      <c r="B236" s="31">
        <v>3.5</v>
      </c>
      <c r="C236" s="5"/>
      <c r="D236" s="10">
        <v>0.83799999999999997</v>
      </c>
      <c r="E236" s="5"/>
      <c r="F236" s="5"/>
      <c r="G236" s="26">
        <f>(5.01*(B236^0.59)*Z$71)/(86.4*I$25)</f>
        <v>1.6324038978598614</v>
      </c>
      <c r="H236" s="42">
        <f t="shared" si="77"/>
        <v>8.6852681361065045</v>
      </c>
      <c r="I236" s="42">
        <f t="shared" si="75"/>
        <v>3.6194986430410245</v>
      </c>
      <c r="J236" s="87">
        <v>3.9</v>
      </c>
      <c r="K236" s="56"/>
      <c r="L236" s="56"/>
      <c r="M236" s="83">
        <f t="shared" si="74"/>
        <v>-52.163958211101658</v>
      </c>
      <c r="N236" s="10">
        <f t="shared" si="76"/>
        <v>-0.42862742983649676</v>
      </c>
      <c r="O236" s="83"/>
      <c r="P236" s="83"/>
      <c r="Q236" s="89">
        <v>121.7</v>
      </c>
      <c r="R236" s="89"/>
      <c r="S236" s="5"/>
      <c r="T236" s="5"/>
      <c r="U236" s="5"/>
    </row>
    <row r="237" spans="1:21" x14ac:dyDescent="0.25">
      <c r="A237" s="82" t="s">
        <v>12</v>
      </c>
      <c r="B237" s="11">
        <v>1996</v>
      </c>
      <c r="C237" s="11">
        <v>1996</v>
      </c>
      <c r="D237" s="11">
        <v>1996</v>
      </c>
      <c r="E237" s="11">
        <v>1996</v>
      </c>
      <c r="F237" s="11">
        <v>1996</v>
      </c>
      <c r="G237" s="11">
        <v>1996</v>
      </c>
      <c r="H237" s="11">
        <v>1996</v>
      </c>
      <c r="I237" s="11">
        <v>1996</v>
      </c>
      <c r="J237" s="47" t="s">
        <v>70</v>
      </c>
      <c r="K237" s="27"/>
      <c r="L237" s="27"/>
      <c r="M237" s="39" t="s">
        <v>60</v>
      </c>
      <c r="N237" s="39" t="s">
        <v>73</v>
      </c>
      <c r="O237" s="105" t="s">
        <v>57</v>
      </c>
      <c r="P237" s="105"/>
      <c r="Q237" s="10"/>
      <c r="R237" s="10"/>
      <c r="S237" s="5"/>
      <c r="T237" s="5"/>
      <c r="U237" s="5"/>
    </row>
    <row r="238" spans="1:21" x14ac:dyDescent="0.25">
      <c r="A238" s="82" t="s">
        <v>0</v>
      </c>
      <c r="B238" s="31">
        <v>104.6</v>
      </c>
      <c r="C238" s="5"/>
      <c r="D238" s="1">
        <v>9049</v>
      </c>
      <c r="E238" s="5"/>
      <c r="F238" s="5"/>
      <c r="G238" s="26">
        <f>(5.01*(B238^0.59)*Z$71)/(86.4*I$14)</f>
        <v>12.115774199130435</v>
      </c>
      <c r="H238" s="42">
        <f>L$32^(J238-(0.6458446*LN(P$36))-(9.53942*N238*(P$36/P$35))+(4.8904*N238))</f>
        <v>24.690434061980088</v>
      </c>
      <c r="I238" s="42">
        <f>((L$32^(J238-(0.6458446*LN(P$36))-(9.53942*N238*(P$36/P$35))+(4.8904*N238)))/1000)*$Z$71</f>
        <v>10.289491490989583</v>
      </c>
      <c r="J238" s="87">
        <v>4.7</v>
      </c>
      <c r="K238" s="56"/>
      <c r="L238" s="56"/>
      <c r="M238" s="83">
        <f t="shared" ref="M238:M249" si="78">(B238-(0.74*P$239))</f>
        <v>45.193654699947317</v>
      </c>
      <c r="N238" s="10">
        <f>M238/Q238</f>
        <v>0.35726209248970209</v>
      </c>
      <c r="O238" s="50" t="s">
        <v>58</v>
      </c>
      <c r="P238" s="83">
        <f>(B238+B239+B240+B241+B242+B243+B244+B245+B246+B247+B248+B249)/12</f>
        <v>48.125000000000007</v>
      </c>
      <c r="Q238" s="89">
        <v>126.5</v>
      </c>
      <c r="R238" s="89"/>
      <c r="S238" s="5"/>
      <c r="T238" s="5"/>
      <c r="U238" s="5"/>
    </row>
    <row r="239" spans="1:21" x14ac:dyDescent="0.25">
      <c r="A239" s="82" t="s">
        <v>1</v>
      </c>
      <c r="B239" s="31">
        <v>143.80000000000001</v>
      </c>
      <c r="C239" s="5"/>
      <c r="D239" s="1">
        <v>13325</v>
      </c>
      <c r="E239" s="5"/>
      <c r="F239" s="5"/>
      <c r="G239" s="26">
        <f>(5.01*(B239^0.59)*Z$71)/(86.4*J$15)</f>
        <v>15.62675904493285</v>
      </c>
      <c r="H239" s="42">
        <f>L$32^(J239-(0.6458446*LN(P$36))-(9.53942*N239*(P$36/P$35))+(4.8904*N239))</f>
        <v>27.785524175300665</v>
      </c>
      <c r="I239" s="42">
        <f t="shared" ref="I239:I249" si="79">((L$32^(J239-(0.6458446*LN(P$36))-(9.53942*N239*(P$36/P$35))+(4.8904*N239)))/1000)*$Z$71</f>
        <v>11.5793393448148</v>
      </c>
      <c r="J239" s="87">
        <v>4.7</v>
      </c>
      <c r="K239" s="56"/>
      <c r="L239" s="56"/>
      <c r="M239" s="83">
        <f t="shared" si="78"/>
        <v>84.393654699947334</v>
      </c>
      <c r="N239" s="10">
        <f t="shared" ref="N239:N249" si="80">M239/Q239</f>
        <v>0.73641932547947064</v>
      </c>
      <c r="O239" s="50" t="s">
        <v>66</v>
      </c>
      <c r="P239" s="83">
        <f>((((B238-P238)^2+(B239-P238)^2+(B240-P238)^2+(B241-P238)^2+(B242-P238)^2+(B243-P238)^2+(B244-P238)^2+(B245-P238)^2+(B246-P238)^2+(B247-P238)^2+(B248-P238)^2+(B249-P238)^2))/(12-1))^0.5</f>
        <v>80.278845000071186</v>
      </c>
      <c r="Q239" s="89">
        <v>114.6</v>
      </c>
      <c r="R239" s="89"/>
      <c r="S239" s="5"/>
      <c r="T239" s="5"/>
      <c r="U239" s="5"/>
    </row>
    <row r="240" spans="1:21" x14ac:dyDescent="0.25">
      <c r="A240" s="82" t="s">
        <v>2</v>
      </c>
      <c r="B240" s="31">
        <v>251.6</v>
      </c>
      <c r="C240" s="5"/>
      <c r="D240" s="1">
        <v>18674</v>
      </c>
      <c r="E240" s="5"/>
      <c r="F240" s="5"/>
      <c r="G240" s="26">
        <f>(5.01*(B240^0.59)*Z$71)/(86.4*I$16)</f>
        <v>20.335120611960242</v>
      </c>
      <c r="H240" s="42">
        <f>L$32^(J240-(0.6458446*LN(P$36))-(9.53942*N240*(P$36/P$35))+(4.8904*N240))</f>
        <v>34.960453853413526</v>
      </c>
      <c r="I240" s="42">
        <f t="shared" si="79"/>
        <v>14.569419538871552</v>
      </c>
      <c r="J240" s="87">
        <v>4.7</v>
      </c>
      <c r="K240" s="56"/>
      <c r="L240" s="58"/>
      <c r="M240" s="83">
        <f t="shared" si="78"/>
        <v>192.19365469994733</v>
      </c>
      <c r="N240" s="10">
        <f t="shared" si="80"/>
        <v>1.4738777200916207</v>
      </c>
      <c r="O240" s="83"/>
      <c r="P240" s="83"/>
      <c r="Q240" s="89">
        <v>130.4</v>
      </c>
      <c r="R240" s="89"/>
      <c r="S240" s="5"/>
      <c r="T240" s="5"/>
      <c r="U240" s="5"/>
    </row>
    <row r="241" spans="1:21" x14ac:dyDescent="0.25">
      <c r="A241" s="82" t="s">
        <v>3</v>
      </c>
      <c r="B241" s="31">
        <v>60.7</v>
      </c>
      <c r="C241" s="5"/>
      <c r="D241" s="1">
        <v>10782</v>
      </c>
      <c r="E241" s="5"/>
      <c r="F241" s="5"/>
      <c r="G241" s="26">
        <f>(5.01*(B241^0.59)*Z$71)/(86.4*I$17)</f>
        <v>9.0813255316932331</v>
      </c>
      <c r="H241" s="42">
        <f>L$32^(J241-(0.6458446*LN(P$36))-(9.53942*N241*(P$36/P$35))+(4.8904*N241))</f>
        <v>22.159902685448223</v>
      </c>
      <c r="I241" s="42">
        <f>((L$32^(J241-(0.6458446*LN(P$36))-(9.53942*N241*(P$36/P$35))+(4.8904*N241)))/1000)*$Z$71</f>
        <v>9.234917845133694</v>
      </c>
      <c r="J241" s="87">
        <v>4.7</v>
      </c>
      <c r="K241" s="56"/>
      <c r="L241" s="56"/>
      <c r="M241" s="83">
        <f t="shared" si="78"/>
        <v>1.2936546999473251</v>
      </c>
      <c r="N241" s="10">
        <f t="shared" si="80"/>
        <v>1.0106677343338477E-2</v>
      </c>
      <c r="O241" s="83"/>
      <c r="P241" s="83"/>
      <c r="Q241" s="89">
        <v>128</v>
      </c>
      <c r="R241" s="89"/>
      <c r="S241" s="5"/>
      <c r="T241" s="5"/>
      <c r="U241" s="5"/>
    </row>
    <row r="242" spans="1:21" x14ac:dyDescent="0.25">
      <c r="A242" s="82" t="s">
        <v>4</v>
      </c>
      <c r="B242" s="31">
        <v>5.0999999999999996</v>
      </c>
      <c r="C242" s="5"/>
      <c r="D242" s="1">
        <v>3041</v>
      </c>
      <c r="E242" s="5"/>
      <c r="F242" s="5"/>
      <c r="G242" s="26">
        <f>(5.01*(B242^0.59)*Z$71)/(86.4*I$18)</f>
        <v>2.0384209813364098</v>
      </c>
      <c r="H242" s="42">
        <f t="shared" ref="H242:H249" si="81">L$32^(J242-(0.6458446*LN(P$36))-(9.53942*N242*(P$36/P$35))+(4.8904*N242))</f>
        <v>19.264839687297624</v>
      </c>
      <c r="I242" s="42">
        <f t="shared" si="79"/>
        <v>8.0284292912844126</v>
      </c>
      <c r="J242" s="87">
        <v>4.7</v>
      </c>
      <c r="K242" s="56"/>
      <c r="L242" s="56"/>
      <c r="M242" s="83">
        <f t="shared" si="78"/>
        <v>-54.306345300052676</v>
      </c>
      <c r="N242" s="10">
        <f t="shared" si="80"/>
        <v>-0.43937172572858152</v>
      </c>
      <c r="O242" s="59"/>
      <c r="P242" s="59"/>
      <c r="Q242" s="89">
        <v>123.6</v>
      </c>
      <c r="R242" s="89"/>
      <c r="S242" s="5"/>
      <c r="T242" s="5"/>
      <c r="U242" s="5"/>
    </row>
    <row r="243" spans="1:21" x14ac:dyDescent="0.25">
      <c r="A243" s="82" t="s">
        <v>5</v>
      </c>
      <c r="B243" s="31">
        <v>3.2</v>
      </c>
      <c r="C243" s="5"/>
      <c r="D243" s="1">
        <v>1151</v>
      </c>
      <c r="E243" s="5"/>
      <c r="F243" s="5"/>
      <c r="G243" s="26">
        <f>(5.01*(B243^0.59)*Z$71)/(86.4*I$19)</f>
        <v>1.5999499724721722</v>
      </c>
      <c r="H243" s="42">
        <f t="shared" si="81"/>
        <v>8.4592000243669183</v>
      </c>
      <c r="I243" s="42">
        <f t="shared" si="79"/>
        <v>3.5252870181546694</v>
      </c>
      <c r="J243" s="87">
        <v>3.9</v>
      </c>
      <c r="K243" s="56"/>
      <c r="L243" s="56"/>
      <c r="M243" s="83">
        <f t="shared" si="78"/>
        <v>-56.206345300052675</v>
      </c>
      <c r="N243" s="10">
        <f t="shared" si="80"/>
        <v>-0.51329995707810661</v>
      </c>
      <c r="O243" s="59"/>
      <c r="P243" s="59"/>
      <c r="Q243" s="89">
        <v>109.5</v>
      </c>
      <c r="R243" s="89"/>
      <c r="S243" s="5"/>
      <c r="T243" s="5"/>
      <c r="U243" s="5"/>
    </row>
    <row r="244" spans="1:21" x14ac:dyDescent="0.25">
      <c r="A244" s="82" t="s">
        <v>6</v>
      </c>
      <c r="B244" s="31">
        <v>1.5</v>
      </c>
      <c r="C244" s="5"/>
      <c r="D244" s="10">
        <v>0.747</v>
      </c>
      <c r="E244" s="5"/>
      <c r="F244" s="5"/>
      <c r="G244" s="26">
        <f>(5.01*(B244^0.59)*Z$71)/(86.4*I$20)</f>
        <v>0.99019634694337466</v>
      </c>
      <c r="H244" s="42">
        <f t="shared" si="81"/>
        <v>1.8667027795836613</v>
      </c>
      <c r="I244" s="42">
        <f t="shared" si="79"/>
        <v>0.77792971636369501</v>
      </c>
      <c r="J244" s="87">
        <v>2.4</v>
      </c>
      <c r="K244" s="56"/>
      <c r="L244" s="56"/>
      <c r="M244" s="83">
        <f t="shared" si="78"/>
        <v>-57.906345300052678</v>
      </c>
      <c r="N244" s="10">
        <f t="shared" si="80"/>
        <v>-0.5488753109009733</v>
      </c>
      <c r="O244" s="59"/>
      <c r="P244" s="59"/>
      <c r="Q244" s="89">
        <v>105.5</v>
      </c>
      <c r="R244" s="89"/>
      <c r="S244" s="5"/>
      <c r="T244" s="5"/>
      <c r="U244" s="5"/>
    </row>
    <row r="245" spans="1:21" x14ac:dyDescent="0.25">
      <c r="A245" s="82" t="s">
        <v>7</v>
      </c>
      <c r="B245" s="31">
        <v>0.3</v>
      </c>
      <c r="C245" s="5"/>
      <c r="D245" s="10">
        <v>0.39900000000000002</v>
      </c>
      <c r="E245" s="5"/>
      <c r="F245" s="5"/>
      <c r="G245" s="26">
        <f>(5.01*(B245^0.59)*Z$71)/(86.4*I$21)</f>
        <v>0.3831148774666619</v>
      </c>
      <c r="H245" s="42">
        <f t="shared" si="81"/>
        <v>0.50591987968079455</v>
      </c>
      <c r="I245" s="42">
        <f t="shared" si="79"/>
        <v>0.21083705065817432</v>
      </c>
      <c r="J245" s="87">
        <v>1.1000000000000001</v>
      </c>
      <c r="K245" s="56"/>
      <c r="L245" s="56"/>
      <c r="M245" s="83">
        <f t="shared" si="78"/>
        <v>-59.106345300052681</v>
      </c>
      <c r="N245" s="10">
        <f t="shared" si="80"/>
        <v>-0.56669554458343896</v>
      </c>
      <c r="O245" s="60"/>
      <c r="P245" s="59"/>
      <c r="Q245" s="89">
        <v>104.3</v>
      </c>
      <c r="R245" s="89"/>
      <c r="S245" s="5"/>
      <c r="T245" s="5"/>
      <c r="U245" s="5"/>
    </row>
    <row r="246" spans="1:21" x14ac:dyDescent="0.25">
      <c r="A246" s="82" t="s">
        <v>8</v>
      </c>
      <c r="B246" s="31">
        <v>0</v>
      </c>
      <c r="C246" s="5"/>
      <c r="D246" s="10">
        <v>0.27800000000000002</v>
      </c>
      <c r="E246" s="5"/>
      <c r="F246" s="5"/>
      <c r="G246" s="26">
        <f>(5.01*(B246^0.59)*Z$71)/(86.4*I$22)</f>
        <v>0</v>
      </c>
      <c r="H246" s="42">
        <f t="shared" si="81"/>
        <v>0.50299908681440797</v>
      </c>
      <c r="I246" s="42">
        <f t="shared" si="79"/>
        <v>0.20961983943903637</v>
      </c>
      <c r="J246" s="87">
        <v>1.1000000000000001</v>
      </c>
      <c r="K246" s="56"/>
      <c r="L246" s="56"/>
      <c r="M246" s="83">
        <f t="shared" si="78"/>
        <v>-59.406345300052678</v>
      </c>
      <c r="N246" s="10">
        <f t="shared" si="80"/>
        <v>-0.58528419014830224</v>
      </c>
      <c r="O246" s="59"/>
      <c r="P246" s="59"/>
      <c r="Q246" s="89">
        <v>101.5</v>
      </c>
      <c r="R246" s="89"/>
      <c r="S246" s="5"/>
      <c r="T246" s="5"/>
      <c r="U246" s="5"/>
    </row>
    <row r="247" spans="1:21" ht="18.75" x14ac:dyDescent="0.3">
      <c r="A247" s="82" t="s">
        <v>9</v>
      </c>
      <c r="B247" s="31">
        <v>0.2</v>
      </c>
      <c r="C247" s="5"/>
      <c r="D247" s="10">
        <v>0.16400000000000001</v>
      </c>
      <c r="E247" s="5"/>
      <c r="F247" s="5"/>
      <c r="G247" s="26">
        <f>(5.01*(B247^0.59)*Z$71)/(86.4*I$23)</f>
        <v>0.30160266478526815</v>
      </c>
      <c r="H247" s="42">
        <f t="shared" si="81"/>
        <v>1.8685612280365338</v>
      </c>
      <c r="I247" s="42">
        <f>((L$32^(J247-(0.6458446*LN(P$36))-(9.53942*N247*(P$36/P$35))+(4.8904*N247)))/1000)*$Z$71</f>
        <v>0.77870420617194513</v>
      </c>
      <c r="J247" s="87">
        <v>2.4</v>
      </c>
      <c r="K247" s="56"/>
      <c r="L247" s="56"/>
      <c r="M247" s="83">
        <f t="shared" si="78"/>
        <v>-59.206345300052675</v>
      </c>
      <c r="N247" s="10">
        <f t="shared" si="80"/>
        <v>-0.5456806018438034</v>
      </c>
      <c r="O247" s="61"/>
      <c r="P247" s="62"/>
      <c r="Q247" s="89">
        <v>108.5</v>
      </c>
      <c r="R247" s="89"/>
      <c r="S247" s="5"/>
      <c r="T247" s="5"/>
      <c r="U247" s="5"/>
    </row>
    <row r="248" spans="1:21" x14ac:dyDescent="0.25">
      <c r="A248" s="82" t="s">
        <v>10</v>
      </c>
      <c r="B248" s="31">
        <v>0.3</v>
      </c>
      <c r="C248" s="5"/>
      <c r="D248" s="10">
        <v>0.23499999999999999</v>
      </c>
      <c r="E248" s="5"/>
      <c r="F248" s="5"/>
      <c r="G248" s="26">
        <f>(5.01*(B248^0.59)*Z$71)/(86.4*I$24)</f>
        <v>0.3958853733822173</v>
      </c>
      <c r="H248" s="42">
        <f t="shared" si="81"/>
        <v>8.4212505191928493</v>
      </c>
      <c r="I248" s="42">
        <f t="shared" si="79"/>
        <v>3.5094719413684285</v>
      </c>
      <c r="J248" s="87">
        <v>3.9</v>
      </c>
      <c r="K248" s="56"/>
      <c r="L248" s="56"/>
      <c r="M248" s="83">
        <f t="shared" si="78"/>
        <v>-59.106345300052681</v>
      </c>
      <c r="N248" s="10">
        <f t="shared" si="80"/>
        <v>-0.52773522589332755</v>
      </c>
      <c r="O248" s="10"/>
      <c r="P248" s="83"/>
      <c r="Q248" s="89">
        <v>112</v>
      </c>
      <c r="R248" s="89"/>
      <c r="S248" s="5"/>
      <c r="T248" s="5"/>
      <c r="U248" s="5"/>
    </row>
    <row r="249" spans="1:21" x14ac:dyDescent="0.25">
      <c r="A249" s="82" t="s">
        <v>11</v>
      </c>
      <c r="B249" s="31">
        <v>6.2</v>
      </c>
      <c r="C249" s="5"/>
      <c r="D249" s="1">
        <v>1167</v>
      </c>
      <c r="E249" s="5"/>
      <c r="F249" s="5"/>
      <c r="G249" s="26">
        <f>(5.01*(B249^0.59)*Z$71)/(86.4*I$25)</f>
        <v>2.2873813392125806</v>
      </c>
      <c r="H249" s="42">
        <f t="shared" si="81"/>
        <v>8.6621277598004109</v>
      </c>
      <c r="I249" s="42">
        <f t="shared" si="79"/>
        <v>3.6098551226192233</v>
      </c>
      <c r="J249" s="87">
        <v>3.9</v>
      </c>
      <c r="K249" s="56"/>
      <c r="L249" s="56"/>
      <c r="M249" s="83">
        <f t="shared" si="78"/>
        <v>-53.206345300052675</v>
      </c>
      <c r="N249" s="10">
        <f t="shared" si="80"/>
        <v>-0.43719264831596283</v>
      </c>
      <c r="O249" s="83"/>
      <c r="P249" s="83"/>
      <c r="Q249" s="89">
        <v>121.7</v>
      </c>
      <c r="R249" s="89"/>
      <c r="S249" s="5"/>
      <c r="T249" s="5"/>
      <c r="U249" s="5"/>
    </row>
    <row r="250" spans="1:21" x14ac:dyDescent="0.25">
      <c r="A250" s="82" t="s">
        <v>12</v>
      </c>
      <c r="B250" s="11">
        <v>1997</v>
      </c>
      <c r="C250" s="11">
        <v>1997</v>
      </c>
      <c r="D250" s="11">
        <v>1997</v>
      </c>
      <c r="E250" s="11">
        <v>1997</v>
      </c>
      <c r="F250" s="11">
        <v>1997</v>
      </c>
      <c r="G250" s="11">
        <v>1997</v>
      </c>
      <c r="H250" s="11">
        <v>1997</v>
      </c>
      <c r="I250" s="11">
        <v>1997</v>
      </c>
      <c r="J250" s="47" t="s">
        <v>70</v>
      </c>
      <c r="K250" s="27"/>
      <c r="L250" s="27"/>
      <c r="M250" s="39" t="s">
        <v>60</v>
      </c>
      <c r="N250" s="39" t="s">
        <v>73</v>
      </c>
      <c r="O250" s="105" t="s">
        <v>57</v>
      </c>
      <c r="P250" s="105"/>
      <c r="Q250" s="10"/>
      <c r="R250" s="10"/>
      <c r="S250" s="5"/>
      <c r="T250" s="5"/>
      <c r="U250" s="5"/>
    </row>
    <row r="251" spans="1:21" x14ac:dyDescent="0.25">
      <c r="A251" s="82" t="s">
        <v>0</v>
      </c>
      <c r="B251" s="31">
        <v>131.80000000000001</v>
      </c>
      <c r="C251" s="5"/>
      <c r="D251" s="1">
        <v>10693</v>
      </c>
      <c r="E251" s="5"/>
      <c r="F251" s="5"/>
      <c r="G251" s="26">
        <f>(5.01*(B251^0.59)*Z$71)/(86.4*I$14)</f>
        <v>13.886013047749262</v>
      </c>
      <c r="H251" s="42">
        <f>L$32^(J251-(0.6458446*LN(P$36))-(9.53942*N251*(P$36/P$35))+(4.8904*N251))</f>
        <v>25.48753224016038</v>
      </c>
      <c r="I251" s="42">
        <f>((L$32^(J251-(0.6458446*LN(P$36))-(9.53942*N251*(P$36/P$35))+(4.8904*N251)))/1000)*$Z$71</f>
        <v>10.621674185764437</v>
      </c>
      <c r="J251" s="87">
        <v>4.7</v>
      </c>
      <c r="K251" s="56"/>
      <c r="L251" s="56"/>
      <c r="M251" s="83">
        <f t="shared" ref="M251:M262" si="82">(B251-(0.74*P$252))</f>
        <v>58.097759513517701</v>
      </c>
      <c r="N251" s="10">
        <f>M251/Q251</f>
        <v>0.45927082619381582</v>
      </c>
      <c r="O251" s="50" t="s">
        <v>58</v>
      </c>
      <c r="P251" s="83">
        <f>(B251+B252+B253+B254+B255+B256+B257+B258+B259+B260+B261+B262)/12</f>
        <v>173.35000000000002</v>
      </c>
      <c r="Q251" s="89">
        <v>126.5</v>
      </c>
      <c r="R251" s="89"/>
      <c r="S251" s="5"/>
      <c r="T251" s="5"/>
      <c r="U251" s="5"/>
    </row>
    <row r="252" spans="1:21" x14ac:dyDescent="0.25">
      <c r="A252" s="82" t="s">
        <v>1</v>
      </c>
      <c r="B252" s="31">
        <v>186.9</v>
      </c>
      <c r="C252" s="5"/>
      <c r="D252" s="1">
        <v>15883</v>
      </c>
      <c r="E252" s="5"/>
      <c r="F252" s="5"/>
      <c r="G252" s="26">
        <f>(5.01*(B252^0.59)*Z$71)/(86.4*J$15)</f>
        <v>18.240664720182888</v>
      </c>
      <c r="H252" s="42">
        <f>L$32^(J252-(0.6458446*LN(P$36))-(9.53942*N252*(P$36/P$35))+(4.8904*N252))</f>
        <v>30.04822595881744</v>
      </c>
      <c r="I252" s="42">
        <f t="shared" ref="I252:I262" si="83">((L$32^(J252-(0.6458446*LN(P$36))-(9.53942*N252*(P$36/P$35))+(4.8904*N252)))/1000)*$Z$71</f>
        <v>12.522297686077581</v>
      </c>
      <c r="J252" s="87">
        <v>4.7</v>
      </c>
      <c r="K252" s="56"/>
      <c r="L252" s="56"/>
      <c r="M252" s="83">
        <f t="shared" si="82"/>
        <v>113.1977595135177</v>
      </c>
      <c r="N252" s="10">
        <f t="shared" ref="N252:N262" si="84">M252/Q252</f>
        <v>0.98776404462057332</v>
      </c>
      <c r="O252" s="50" t="s">
        <v>66</v>
      </c>
      <c r="P252" s="83">
        <f>((((B251-P251)^2+(B252-P251)^2+(B253-P251)^2+(B254-P251)^2+(B255-P251)^2+(B256-P251)^2+(B257-P251)^2+(B258-P251)^2+(B259-P251)^2+(B260-P251)^2+(B261-P251)^2+(B262-P251)^2))/(12-1))^0.5</f>
        <v>99.597622279030148</v>
      </c>
      <c r="Q252" s="89">
        <v>114.6</v>
      </c>
      <c r="R252" s="89"/>
      <c r="S252" s="5"/>
      <c r="T252" s="5"/>
      <c r="U252" s="5"/>
    </row>
    <row r="253" spans="1:21" x14ac:dyDescent="0.25">
      <c r="A253" s="82" t="s">
        <v>2</v>
      </c>
      <c r="B253" s="31">
        <v>322.8</v>
      </c>
      <c r="C253" s="5"/>
      <c r="D253" s="1">
        <v>22497</v>
      </c>
      <c r="E253" s="5"/>
      <c r="F253" s="5"/>
      <c r="G253" s="26">
        <f>(5.01*(B253^0.59)*Z$71)/(86.4*I$16)</f>
        <v>23.55582164253132</v>
      </c>
      <c r="H253" s="42">
        <f>L$32^(J253-(0.6458446*LN(P$36))-(9.53942*N253*(P$36/P$35))+(4.8904*N253))</f>
        <v>40.050487350350913</v>
      </c>
      <c r="I253" s="42">
        <f t="shared" si="83"/>
        <v>16.690640098385238</v>
      </c>
      <c r="J253" s="87">
        <v>4.7</v>
      </c>
      <c r="K253" s="56"/>
      <c r="L253" s="58"/>
      <c r="M253" s="83">
        <f t="shared" si="82"/>
        <v>249.0977595135177</v>
      </c>
      <c r="N253" s="10">
        <f t="shared" si="84"/>
        <v>1.9102588919748289</v>
      </c>
      <c r="O253" s="83"/>
      <c r="P253" s="83"/>
      <c r="Q253" s="89">
        <v>130.4</v>
      </c>
      <c r="R253" s="89"/>
      <c r="S253" s="5"/>
      <c r="T253" s="5"/>
      <c r="U253" s="5"/>
    </row>
    <row r="254" spans="1:21" x14ac:dyDescent="0.25">
      <c r="A254" s="82" t="s">
        <v>3</v>
      </c>
      <c r="B254" s="31">
        <v>232.7</v>
      </c>
      <c r="C254" s="5"/>
      <c r="D254" s="10">
        <v>20.53</v>
      </c>
      <c r="E254" s="5"/>
      <c r="F254" s="5"/>
      <c r="G254" s="26">
        <f>(5.01*(B254^0.59)*Z$71)/(86.4*I$17)</f>
        <v>20.066784289822085</v>
      </c>
      <c r="H254" s="42">
        <f>L$32^(J254-(0.6458446*LN(P$36))-(9.53942*N254*(P$36/P$35))+(4.8904*N254))</f>
        <v>32.526189047134018</v>
      </c>
      <c r="I254" s="42">
        <f>((L$32^(J254-(0.6458446*LN(P$36))-(9.53942*N254*(P$36/P$35))+(4.8904*N254)))/1000)*$Z$71</f>
        <v>13.554964023502631</v>
      </c>
      <c r="J254" s="87">
        <v>4.7</v>
      </c>
      <c r="K254" s="56"/>
      <c r="L254" s="56"/>
      <c r="M254" s="83">
        <f t="shared" si="82"/>
        <v>158.99775951351768</v>
      </c>
      <c r="N254" s="10">
        <f t="shared" si="84"/>
        <v>1.2421699961993569</v>
      </c>
      <c r="O254" s="83"/>
      <c r="P254" s="83"/>
      <c r="Q254" s="89">
        <v>128</v>
      </c>
      <c r="R254" s="89"/>
      <c r="S254" s="5"/>
      <c r="T254" s="5"/>
      <c r="U254" s="5"/>
    </row>
    <row r="255" spans="1:21" x14ac:dyDescent="0.25">
      <c r="A255" s="82" t="s">
        <v>4</v>
      </c>
      <c r="B255" s="31">
        <v>82.4</v>
      </c>
      <c r="C255" s="5"/>
      <c r="D255" s="1">
        <v>12174</v>
      </c>
      <c r="E255" s="5"/>
      <c r="F255" s="5"/>
      <c r="G255" s="26">
        <f>(5.01*(B255^0.59)*Z$71)/(86.4*I$18)</f>
        <v>10.525058826024217</v>
      </c>
      <c r="H255" s="42">
        <f t="shared" ref="H255:H262" si="85">L$32^(J255-(0.6458446*LN(P$36))-(9.53942*N255*(P$36/P$35))+(4.8904*N255))</f>
        <v>22.579790105250535</v>
      </c>
      <c r="I255" s="42">
        <f t="shared" si="83"/>
        <v>9.409901728462108</v>
      </c>
      <c r="J255" s="87">
        <v>4.7</v>
      </c>
      <c r="K255" s="56"/>
      <c r="L255" s="56"/>
      <c r="M255" s="83">
        <f t="shared" si="82"/>
        <v>8.6977595135176955</v>
      </c>
      <c r="N255" s="10">
        <f t="shared" si="84"/>
        <v>7.0370222601275859E-2</v>
      </c>
      <c r="O255" s="59"/>
      <c r="P255" s="59"/>
      <c r="Q255" s="89">
        <v>123.6</v>
      </c>
      <c r="R255" s="89"/>
      <c r="S255" s="5"/>
      <c r="T255" s="5"/>
      <c r="U255" s="5"/>
    </row>
    <row r="256" spans="1:21" x14ac:dyDescent="0.25">
      <c r="A256" s="82" t="s">
        <v>5</v>
      </c>
      <c r="B256" s="31">
        <v>74.099999999999994</v>
      </c>
      <c r="C256" s="5"/>
      <c r="D256" s="1">
        <v>9164</v>
      </c>
      <c r="E256" s="5"/>
      <c r="F256" s="5"/>
      <c r="G256" s="26">
        <f>(5.01*(B256^0.59)*Z$71)/(86.4*I$19)</f>
        <v>10.215524242709037</v>
      </c>
      <c r="H256" s="42">
        <f t="shared" si="85"/>
        <v>9.9370272467047478</v>
      </c>
      <c r="I256" s="42">
        <f t="shared" si="83"/>
        <v>4.1411567347917364</v>
      </c>
      <c r="J256" s="87">
        <v>3.9</v>
      </c>
      <c r="K256" s="56"/>
      <c r="L256" s="56"/>
      <c r="M256" s="83">
        <f t="shared" si="82"/>
        <v>0.39775951351768413</v>
      </c>
      <c r="N256" s="10">
        <f t="shared" si="84"/>
        <v>3.6325069727642387E-3</v>
      </c>
      <c r="O256" s="59"/>
      <c r="P256" s="59"/>
      <c r="Q256" s="89">
        <v>109.5</v>
      </c>
      <c r="R256" s="89"/>
      <c r="S256" s="5"/>
      <c r="T256" s="5"/>
      <c r="U256" s="5"/>
    </row>
    <row r="257" spans="1:21" x14ac:dyDescent="0.25">
      <c r="A257" s="82" t="s">
        <v>6</v>
      </c>
      <c r="B257" s="31">
        <v>58.5</v>
      </c>
      <c r="C257" s="5"/>
      <c r="D257" s="1">
        <v>7859</v>
      </c>
      <c r="E257" s="5"/>
      <c r="F257" s="5"/>
      <c r="G257" s="26">
        <f>(5.01*(B257^0.59)*Z$71)/(86.4*I$20)</f>
        <v>8.5990294818529183</v>
      </c>
      <c r="H257" s="42">
        <f t="shared" si="85"/>
        <v>2.1175363949595343</v>
      </c>
      <c r="I257" s="42">
        <f t="shared" si="83"/>
        <v>0.88246211723543644</v>
      </c>
      <c r="J257" s="87">
        <v>2.4</v>
      </c>
      <c r="K257" s="56"/>
      <c r="L257" s="56"/>
      <c r="M257" s="83">
        <f t="shared" si="82"/>
        <v>-15.20224048648231</v>
      </c>
      <c r="N257" s="10">
        <f t="shared" si="84"/>
        <v>-0.14409706622258114</v>
      </c>
      <c r="O257" s="59"/>
      <c r="P257" s="59"/>
      <c r="Q257" s="89">
        <v>105.5</v>
      </c>
      <c r="R257" s="89"/>
      <c r="S257" s="5"/>
      <c r="T257" s="5"/>
      <c r="U257" s="5"/>
    </row>
    <row r="258" spans="1:21" x14ac:dyDescent="0.25">
      <c r="A258" s="82" t="s">
        <v>7</v>
      </c>
      <c r="B258" s="31">
        <v>118.9</v>
      </c>
      <c r="C258" s="5"/>
      <c r="D258" s="1">
        <v>11306</v>
      </c>
      <c r="E258" s="5"/>
      <c r="F258" s="5"/>
      <c r="G258" s="26">
        <f>(5.01*(B258^0.59)*Z$71)/(86.4*I$21)</f>
        <v>13.067267185219041</v>
      </c>
      <c r="H258" s="42">
        <f t="shared" si="85"/>
        <v>0.69081286863130575</v>
      </c>
      <c r="I258" s="42">
        <f t="shared" si="83"/>
        <v>0.28788935487341033</v>
      </c>
      <c r="J258" s="87">
        <v>1.1000000000000001</v>
      </c>
      <c r="K258" s="56"/>
      <c r="L258" s="56"/>
      <c r="M258" s="83">
        <f t="shared" si="82"/>
        <v>45.197759513517695</v>
      </c>
      <c r="N258" s="10">
        <f t="shared" si="84"/>
        <v>0.43334381125136812</v>
      </c>
      <c r="O258" s="60"/>
      <c r="P258" s="59"/>
      <c r="Q258" s="89">
        <v>104.3</v>
      </c>
      <c r="R258" s="89"/>
      <c r="S258" s="5"/>
      <c r="T258" s="5"/>
      <c r="U258" s="5"/>
    </row>
    <row r="259" spans="1:21" x14ac:dyDescent="0.25">
      <c r="A259" s="82" t="s">
        <v>8</v>
      </c>
      <c r="B259" s="31">
        <v>93.8</v>
      </c>
      <c r="C259" s="5"/>
      <c r="D259" s="1">
        <v>10946</v>
      </c>
      <c r="E259" s="5"/>
      <c r="F259" s="5"/>
      <c r="G259" s="26">
        <f>(5.01*(B259^0.59)*Z$71)/(86.4*I$22)</f>
        <v>11.739986316027126</v>
      </c>
      <c r="H259" s="42">
        <f t="shared" si="85"/>
        <v>0.64198618943277908</v>
      </c>
      <c r="I259" s="42">
        <f t="shared" si="83"/>
        <v>0.26754132458421631</v>
      </c>
      <c r="J259" s="87">
        <v>1.1000000000000001</v>
      </c>
      <c r="K259" s="56"/>
      <c r="L259" s="56"/>
      <c r="M259" s="83">
        <f t="shared" si="82"/>
        <v>20.097759513517687</v>
      </c>
      <c r="N259" s="10">
        <f t="shared" si="84"/>
        <v>0.19800748289179987</v>
      </c>
      <c r="O259" s="59"/>
      <c r="P259" s="59"/>
      <c r="Q259" s="89">
        <v>101.5</v>
      </c>
      <c r="R259" s="89"/>
      <c r="S259" s="5"/>
      <c r="T259" s="5"/>
      <c r="U259" s="5"/>
    </row>
    <row r="260" spans="1:21" ht="18.75" x14ac:dyDescent="0.3">
      <c r="A260" s="82" t="s">
        <v>9</v>
      </c>
      <c r="B260" s="31">
        <v>157.4</v>
      </c>
      <c r="C260" s="5"/>
      <c r="D260" s="1">
        <v>13967</v>
      </c>
      <c r="E260" s="5"/>
      <c r="F260" s="5"/>
      <c r="G260" s="26">
        <f>(5.01*(B260^0.59)*Z$71)/(86.4*I$23)</f>
        <v>15.41914407557173</v>
      </c>
      <c r="H260" s="42">
        <f t="shared" si="85"/>
        <v>2.8162701396122127</v>
      </c>
      <c r="I260" s="42">
        <f>((L$32^(J260-(0.6458446*LN(P$36))-(9.53942*N260*(P$36/P$35))+(4.8904*N260)))/1000)*$Z$71</f>
        <v>1.1736524179819936</v>
      </c>
      <c r="J260" s="87">
        <v>2.4</v>
      </c>
      <c r="K260" s="56"/>
      <c r="L260" s="56"/>
      <c r="M260" s="83">
        <f t="shared" si="82"/>
        <v>83.697759513517695</v>
      </c>
      <c r="N260" s="10">
        <f t="shared" si="84"/>
        <v>0.7714079217835732</v>
      </c>
      <c r="O260" s="61"/>
      <c r="P260" s="62"/>
      <c r="Q260" s="89">
        <v>108.5</v>
      </c>
      <c r="R260" s="89"/>
      <c r="S260" s="5"/>
      <c r="T260" s="5"/>
      <c r="U260" s="5"/>
    </row>
    <row r="261" spans="1:21" x14ac:dyDescent="0.25">
      <c r="A261" s="82" t="s">
        <v>10</v>
      </c>
      <c r="B261" s="31">
        <v>272.39999999999998</v>
      </c>
      <c r="C261" s="5"/>
      <c r="D261" s="1">
        <v>20405</v>
      </c>
      <c r="E261" s="5"/>
      <c r="F261" s="5"/>
      <c r="G261" s="26">
        <f>(5.01*(B261^0.59)*Z$71)/(86.4*I$24)</f>
        <v>22.021155668432066</v>
      </c>
      <c r="H261" s="42">
        <f t="shared" si="85"/>
        <v>17.248518954739222</v>
      </c>
      <c r="I261" s="42">
        <f t="shared" si="83"/>
        <v>7.1881477891980241</v>
      </c>
      <c r="J261" s="87">
        <v>3.9</v>
      </c>
      <c r="K261" s="56"/>
      <c r="L261" s="56"/>
      <c r="M261" s="83">
        <f t="shared" si="82"/>
        <v>198.69775951351767</v>
      </c>
      <c r="N261" s="10">
        <f t="shared" si="84"/>
        <v>1.7740871385135506</v>
      </c>
      <c r="O261" s="10"/>
      <c r="P261" s="83"/>
      <c r="Q261" s="89">
        <v>112</v>
      </c>
      <c r="R261" s="89"/>
      <c r="S261" s="5"/>
      <c r="T261" s="5"/>
      <c r="U261" s="5"/>
    </row>
    <row r="262" spans="1:21" x14ac:dyDescent="0.25">
      <c r="A262" s="82" t="s">
        <v>11</v>
      </c>
      <c r="B262" s="31">
        <v>348.5</v>
      </c>
      <c r="C262" s="5"/>
      <c r="D262" s="10">
        <v>24.74</v>
      </c>
      <c r="E262" s="5"/>
      <c r="F262" s="5"/>
      <c r="G262" s="26">
        <f>(5.01*(B262^0.59)*Z$71)/(86.4*I$25)</f>
        <v>24.644903308111807</v>
      </c>
      <c r="H262" s="42">
        <f t="shared" si="85"/>
        <v>20.054479290140733</v>
      </c>
      <c r="I262" s="42">
        <f t="shared" si="83"/>
        <v>8.3575036993732503</v>
      </c>
      <c r="J262" s="87">
        <v>3.9</v>
      </c>
      <c r="K262" s="56"/>
      <c r="L262" s="56"/>
      <c r="M262" s="83">
        <f t="shared" si="82"/>
        <v>274.79775951351769</v>
      </c>
      <c r="N262" s="10">
        <f t="shared" si="84"/>
        <v>2.25799309378404</v>
      </c>
      <c r="O262" s="83"/>
      <c r="P262" s="83"/>
      <c r="Q262" s="89">
        <v>121.7</v>
      </c>
      <c r="R262" s="89"/>
      <c r="S262" s="5"/>
      <c r="T262" s="5"/>
      <c r="U262" s="5"/>
    </row>
    <row r="263" spans="1:21" x14ac:dyDescent="0.25">
      <c r="A263" s="82" t="s">
        <v>12</v>
      </c>
      <c r="B263" s="11">
        <v>1998</v>
      </c>
      <c r="C263" s="11">
        <v>1998</v>
      </c>
      <c r="D263" s="11">
        <v>1998</v>
      </c>
      <c r="E263" s="11">
        <v>1998</v>
      </c>
      <c r="F263" s="11">
        <v>1998</v>
      </c>
      <c r="G263" s="11">
        <v>1998</v>
      </c>
      <c r="H263" s="11">
        <v>1998</v>
      </c>
      <c r="I263" s="11">
        <v>1998</v>
      </c>
      <c r="J263" s="47" t="s">
        <v>70</v>
      </c>
      <c r="K263" s="27"/>
      <c r="L263" s="27"/>
      <c r="M263" s="39" t="s">
        <v>60</v>
      </c>
      <c r="N263" s="39" t="s">
        <v>73</v>
      </c>
      <c r="O263" s="105" t="s">
        <v>57</v>
      </c>
      <c r="P263" s="105"/>
      <c r="Q263" s="10"/>
      <c r="R263" s="10"/>
      <c r="S263" s="5"/>
      <c r="T263" s="5"/>
      <c r="U263" s="5"/>
    </row>
    <row r="264" spans="1:21" x14ac:dyDescent="0.25">
      <c r="A264" s="82" t="s">
        <v>0</v>
      </c>
      <c r="B264" s="31">
        <v>286.3</v>
      </c>
      <c r="C264" s="5"/>
      <c r="D264" s="10">
        <v>23.19</v>
      </c>
      <c r="E264" s="5"/>
      <c r="F264" s="5"/>
      <c r="G264" s="26">
        <f>(5.01*(B264^0.59)*Z$71)/(86.4*I$14)</f>
        <v>21.945833112638891</v>
      </c>
      <c r="H264" s="42">
        <f>L$32^(J264-(0.6458446*LN(P$36))-(9.53942*N264*(P$36/P$35))+(4.8904*N264))</f>
        <v>30.80264486419183</v>
      </c>
      <c r="I264" s="42">
        <f>((L$32^(J264-(0.6458446*LN(P$36))-(9.53942*N264*(P$36/P$35))+(4.8904*N264)))/1000)*$Z$71</f>
        <v>12.836694220703304</v>
      </c>
      <c r="J264" s="87">
        <v>4.7</v>
      </c>
      <c r="K264" s="56"/>
      <c r="L264" s="56"/>
      <c r="M264" s="83">
        <f t="shared" ref="M264:M275" si="86">(B264-(0.74*P$265))</f>
        <v>135.0228735659237</v>
      </c>
      <c r="N264" s="10">
        <f>M264/Q264</f>
        <v>1.0673744945922823</v>
      </c>
      <c r="O264" s="50" t="s">
        <v>58</v>
      </c>
      <c r="P264" s="83">
        <f>(B264+B265+B266+B267+B268+B269+B270+B271+B272+B273+B274+B275)/12</f>
        <v>186.05833333333337</v>
      </c>
      <c r="Q264" s="89">
        <v>126.5</v>
      </c>
      <c r="R264" s="89"/>
      <c r="S264" s="5"/>
      <c r="T264" s="5"/>
      <c r="U264" s="5"/>
    </row>
    <row r="265" spans="1:21" x14ac:dyDescent="0.25">
      <c r="A265" s="82" t="s">
        <v>1</v>
      </c>
      <c r="B265" s="31">
        <v>385</v>
      </c>
      <c r="C265" s="5"/>
      <c r="D265" s="1">
        <v>26441</v>
      </c>
      <c r="E265" s="5"/>
      <c r="F265" s="5"/>
      <c r="G265" s="26">
        <f>(5.01*(B265^0.59)*Z$71)/(86.4*J$15)</f>
        <v>27.939138031978803</v>
      </c>
      <c r="H265" s="42">
        <f>L$32^(J265-(0.6458446*LN(P$36))-(9.53942*N265*(P$36/P$35))+(4.8904*N265))</f>
        <v>41.695210055372435</v>
      </c>
      <c r="I265" s="42">
        <f t="shared" ref="I265:I275" si="87">((L$32^(J265-(0.6458446*LN(P$36))-(9.53942*N265*(P$36/P$35))+(4.8904*N265)))/1000)*$Z$71</f>
        <v>17.376061838475909</v>
      </c>
      <c r="J265" s="87">
        <v>4.7</v>
      </c>
      <c r="K265" s="56"/>
      <c r="L265" s="56"/>
      <c r="M265" s="83">
        <f t="shared" si="86"/>
        <v>233.72287356592369</v>
      </c>
      <c r="N265" s="10">
        <f t="shared" ref="N265:N275" si="88">M265/Q265</f>
        <v>2.0394666105228945</v>
      </c>
      <c r="O265" s="50" t="s">
        <v>66</v>
      </c>
      <c r="P265" s="83">
        <f>((((B264-P264)^2+(B265-P264)^2+(B266-P264)^2+(B267-P264)^2+(B268-P264)^2+(B269-P264)^2+(B270-P264)^2+(B271-P264)^2+(B272-P264)^2+(B273-P264)^2+(B274-P264)^2+(B275-P264)^2))/(12-1))^0.5</f>
        <v>204.42854923523825</v>
      </c>
      <c r="Q265" s="89">
        <v>114.6</v>
      </c>
      <c r="R265" s="89"/>
      <c r="S265" s="5"/>
      <c r="T265" s="5"/>
      <c r="U265" s="5"/>
    </row>
    <row r="266" spans="1:21" x14ac:dyDescent="0.25">
      <c r="A266" s="82" t="s">
        <v>2</v>
      </c>
      <c r="B266" s="31">
        <v>575</v>
      </c>
      <c r="C266" s="5"/>
      <c r="D266" s="1">
        <v>34047</v>
      </c>
      <c r="E266" s="5"/>
      <c r="F266" s="5"/>
      <c r="G266" s="26">
        <f>(5.01*(B266^0.59)*Z$71)/(86.4*I$16)</f>
        <v>33.11551438184528</v>
      </c>
      <c r="H266" s="42">
        <f>L$32^(J266-(0.6458446*LN(P$36))-(9.53942*N266*(P$36/P$35))+(4.8904*N266))</f>
        <v>60.779771717288909</v>
      </c>
      <c r="I266" s="42">
        <f t="shared" si="87"/>
        <v>25.329362065462981</v>
      </c>
      <c r="J266" s="87">
        <v>4.7</v>
      </c>
      <c r="K266" s="56"/>
      <c r="L266" s="58"/>
      <c r="M266" s="83">
        <f t="shared" si="86"/>
        <v>423.72287356592369</v>
      </c>
      <c r="N266" s="10">
        <f t="shared" si="88"/>
        <v>3.2494085396159793</v>
      </c>
      <c r="O266" s="83"/>
      <c r="P266" s="83"/>
      <c r="Q266" s="89">
        <v>130.4</v>
      </c>
      <c r="R266" s="89"/>
      <c r="S266" s="5"/>
      <c r="T266" s="5"/>
      <c r="U266" s="5"/>
    </row>
    <row r="267" spans="1:21" x14ac:dyDescent="0.25">
      <c r="A267" s="82" t="s">
        <v>3</v>
      </c>
      <c r="B267" s="31">
        <v>465</v>
      </c>
      <c r="C267" s="5"/>
      <c r="D267" s="10">
        <v>32.39</v>
      </c>
      <c r="E267" s="5"/>
      <c r="F267" s="5"/>
      <c r="G267" s="26">
        <f>(5.01*(B267^0.59)*Z$71)/(86.4*I$17)</f>
        <v>30.190142175443853</v>
      </c>
      <c r="H267" s="42">
        <f>L$32^(J267-(0.6458446*LN(P$36))-(9.53942*N267*(P$36/P$35))+(4.8904*N267))</f>
        <v>47.396933965534366</v>
      </c>
      <c r="I267" s="42">
        <f>((L$32^(J267-(0.6458446*LN(P$36))-(9.53942*N267*(P$36/P$35))+(4.8904*N267)))/1000)*$Z$71</f>
        <v>19.752198260796792</v>
      </c>
      <c r="J267" s="87">
        <v>4.7</v>
      </c>
      <c r="K267" s="56"/>
      <c r="L267" s="56"/>
      <c r="M267" s="83">
        <f t="shared" si="86"/>
        <v>313.72287356592369</v>
      </c>
      <c r="N267" s="10">
        <f t="shared" si="88"/>
        <v>2.4509599497337788</v>
      </c>
      <c r="O267" s="83"/>
      <c r="P267" s="83"/>
      <c r="Q267" s="89">
        <v>128</v>
      </c>
      <c r="R267" s="89"/>
      <c r="S267" s="5"/>
      <c r="T267" s="5"/>
      <c r="U267" s="5"/>
    </row>
    <row r="268" spans="1:21" x14ac:dyDescent="0.25">
      <c r="A268" s="82" t="s">
        <v>4</v>
      </c>
      <c r="B268" s="31">
        <v>286.3</v>
      </c>
      <c r="C268" s="5"/>
      <c r="D268" s="1">
        <v>24753</v>
      </c>
      <c r="E268" s="5"/>
      <c r="F268" s="5"/>
      <c r="G268" s="26">
        <f>(5.01*(B268^0.59)*Z$71)/(86.4*I$18)</f>
        <v>21.945833112638891</v>
      </c>
      <c r="H268" s="42">
        <f t="shared" ref="H268:H275" si="89">L$32^(J268-(0.6458446*LN(P$36))-(9.53942*N268*(P$36/P$35))+(4.8904*N268))</f>
        <v>31.043861500614135</v>
      </c>
      <c r="I268" s="42">
        <f t="shared" si="87"/>
        <v>12.937218841765935</v>
      </c>
      <c r="J268" s="87">
        <v>4.7</v>
      </c>
      <c r="K268" s="56"/>
      <c r="L268" s="56"/>
      <c r="M268" s="83">
        <f t="shared" si="86"/>
        <v>135.0228735659237</v>
      </c>
      <c r="N268" s="10">
        <f t="shared" si="88"/>
        <v>1.0924180709217128</v>
      </c>
      <c r="O268" s="83"/>
      <c r="P268" s="83"/>
      <c r="Q268" s="89">
        <v>123.6</v>
      </c>
      <c r="R268" s="89"/>
      <c r="S268" s="5"/>
      <c r="T268" s="5"/>
      <c r="U268" s="5"/>
    </row>
    <row r="269" spans="1:21" x14ac:dyDescent="0.25">
      <c r="A269" s="82" t="s">
        <v>5</v>
      </c>
      <c r="B269" s="31">
        <v>106.9</v>
      </c>
      <c r="C269" s="5"/>
      <c r="D269" s="1">
        <v>14384</v>
      </c>
      <c r="E269" s="5"/>
      <c r="F269" s="5"/>
      <c r="G269" s="26">
        <f>(5.01*(B269^0.59)*Z$71)/(86.4*I$19)</f>
        <v>12.681328773797816</v>
      </c>
      <c r="H269" s="42">
        <f t="shared" si="89"/>
        <v>8.7486852576375895</v>
      </c>
      <c r="I269" s="42">
        <f t="shared" si="87"/>
        <v>3.645927094267889</v>
      </c>
      <c r="J269" s="87">
        <v>3.9</v>
      </c>
      <c r="K269" s="56"/>
      <c r="L269" s="56"/>
      <c r="M269" s="83">
        <f t="shared" si="86"/>
        <v>-44.377126434076303</v>
      </c>
      <c r="N269" s="10">
        <f t="shared" si="88"/>
        <v>-0.40527056104179271</v>
      </c>
      <c r="O269" s="59"/>
      <c r="P269" s="59"/>
      <c r="Q269" s="89">
        <v>109.5</v>
      </c>
      <c r="R269" s="89"/>
      <c r="S269" s="5"/>
      <c r="T269" s="5"/>
      <c r="U269" s="5"/>
    </row>
    <row r="270" spans="1:21" x14ac:dyDescent="0.25">
      <c r="A270" s="82" t="s">
        <v>6</v>
      </c>
      <c r="B270" s="31">
        <v>59.3</v>
      </c>
      <c r="C270" s="5"/>
      <c r="D270" s="1">
        <v>8686</v>
      </c>
      <c r="E270" s="5"/>
      <c r="F270" s="5"/>
      <c r="G270" s="26">
        <f>(5.01*(B270^0.59)*Z$71)/(86.4*I$20)</f>
        <v>8.6682164236938757</v>
      </c>
      <c r="H270" s="42">
        <f t="shared" si="89"/>
        <v>1.6880651920017902</v>
      </c>
      <c r="I270" s="42">
        <f t="shared" si="87"/>
        <v>0.70348428811482611</v>
      </c>
      <c r="J270" s="87">
        <v>2.4</v>
      </c>
      <c r="K270" s="56"/>
      <c r="L270" s="56"/>
      <c r="M270" s="83">
        <f t="shared" si="86"/>
        <v>-91.977126434076311</v>
      </c>
      <c r="N270" s="10">
        <f t="shared" si="88"/>
        <v>-0.87182110364053378</v>
      </c>
      <c r="O270" s="59"/>
      <c r="P270" s="59"/>
      <c r="Q270" s="89">
        <v>105.5</v>
      </c>
      <c r="R270" s="89"/>
      <c r="S270" s="5"/>
      <c r="T270" s="5"/>
      <c r="U270" s="5"/>
    </row>
    <row r="271" spans="1:21" x14ac:dyDescent="0.25">
      <c r="A271" s="82" t="s">
        <v>7</v>
      </c>
      <c r="B271" s="31">
        <v>6.9</v>
      </c>
      <c r="C271" s="5"/>
      <c r="D271" s="1">
        <v>3147</v>
      </c>
      <c r="E271" s="5"/>
      <c r="F271" s="5"/>
      <c r="G271" s="26">
        <f>(5.01*(B271^0.59)*Z$71)/(86.4*I$21)</f>
        <v>2.4363991565413072</v>
      </c>
      <c r="H271" s="42">
        <f t="shared" si="89"/>
        <v>0.39218285826293497</v>
      </c>
      <c r="I271" s="42">
        <f t="shared" si="87"/>
        <v>0.16343828435249552</v>
      </c>
      <c r="J271" s="87">
        <v>1.1000000000000001</v>
      </c>
      <c r="K271" s="56"/>
      <c r="L271" s="56"/>
      <c r="M271" s="83">
        <f t="shared" si="86"/>
        <v>-144.3771264340763</v>
      </c>
      <c r="N271" s="10">
        <f t="shared" si="88"/>
        <v>-1.3842485755903768</v>
      </c>
      <c r="O271" s="60"/>
      <c r="P271" s="59"/>
      <c r="Q271" s="89">
        <v>104.3</v>
      </c>
      <c r="R271" s="89"/>
      <c r="S271" s="5"/>
      <c r="T271" s="5"/>
      <c r="U271" s="5"/>
    </row>
    <row r="272" spans="1:21" x14ac:dyDescent="0.25">
      <c r="A272" s="82" t="s">
        <v>8</v>
      </c>
      <c r="B272" s="31">
        <v>12.7</v>
      </c>
      <c r="C272" s="5"/>
      <c r="D272" s="1">
        <v>2312</v>
      </c>
      <c r="E272" s="5"/>
      <c r="F272" s="5"/>
      <c r="G272" s="26">
        <f>(5.01*(B272^0.59)*Z$71)/(86.4*I$22)</f>
        <v>3.6083787072927813</v>
      </c>
      <c r="H272" s="42">
        <f t="shared" si="89"/>
        <v>0.39450539096876613</v>
      </c>
      <c r="I272" s="42">
        <f t="shared" si="87"/>
        <v>0.1644061766323236</v>
      </c>
      <c r="J272" s="87">
        <v>1.1000000000000001</v>
      </c>
      <c r="K272" s="56"/>
      <c r="L272" s="56"/>
      <c r="M272" s="83">
        <f t="shared" si="86"/>
        <v>-138.57712643407632</v>
      </c>
      <c r="N272" s="10">
        <f t="shared" si="88"/>
        <v>-1.3652918860500129</v>
      </c>
      <c r="O272" s="59"/>
      <c r="P272" s="59"/>
      <c r="Q272" s="89">
        <v>101.5</v>
      </c>
      <c r="R272" s="89"/>
      <c r="S272" s="5"/>
      <c r="T272" s="5"/>
      <c r="U272" s="5"/>
    </row>
    <row r="273" spans="1:21" ht="18.75" x14ac:dyDescent="0.3">
      <c r="A273" s="82" t="s">
        <v>9</v>
      </c>
      <c r="B273" s="31">
        <v>11.4</v>
      </c>
      <c r="C273" s="5"/>
      <c r="D273" s="10">
        <v>2.29</v>
      </c>
      <c r="E273" s="5"/>
      <c r="F273" s="5"/>
      <c r="G273" s="26">
        <f>(5.01*(B273^0.59)*Z$71)/(86.4*I$23)</f>
        <v>3.2764333603783986</v>
      </c>
      <c r="H273" s="42">
        <f t="shared" si="89"/>
        <v>1.4822802142020119</v>
      </c>
      <c r="I273" s="42">
        <f>((L$32^(J273-(0.6458446*LN(P$36))-(9.53942*N273*(P$36/P$35))+(4.8904*N273)))/1000)*$Z$71</f>
        <v>0.61772545646654642</v>
      </c>
      <c r="J273" s="87">
        <v>2.4</v>
      </c>
      <c r="K273" s="56"/>
      <c r="L273" s="56"/>
      <c r="M273" s="83">
        <f t="shared" si="86"/>
        <v>-139.8771264340763</v>
      </c>
      <c r="N273" s="10">
        <f t="shared" si="88"/>
        <v>-1.2891901053831918</v>
      </c>
      <c r="O273" s="61"/>
      <c r="P273" s="62"/>
      <c r="Q273" s="89">
        <v>108.5</v>
      </c>
      <c r="R273" s="89"/>
      <c r="S273" s="5"/>
      <c r="T273" s="5"/>
      <c r="U273" s="5"/>
    </row>
    <row r="274" spans="1:21" x14ac:dyDescent="0.25">
      <c r="A274" s="82" t="s">
        <v>10</v>
      </c>
      <c r="B274" s="31">
        <v>26.1</v>
      </c>
      <c r="C274" s="5"/>
      <c r="D274" s="1">
        <v>3688</v>
      </c>
      <c r="E274" s="5"/>
      <c r="F274" s="5"/>
      <c r="G274" s="26">
        <f>(5.01*(B274^0.59)*Z$71)/(86.4*I$24)</f>
        <v>5.5193230628132124</v>
      </c>
      <c r="H274" s="42">
        <f t="shared" si="89"/>
        <v>7.007715225225132</v>
      </c>
      <c r="I274" s="42">
        <f t="shared" si="87"/>
        <v>2.9203952429603217</v>
      </c>
      <c r="J274" s="87">
        <v>3.9</v>
      </c>
      <c r="K274" s="56"/>
      <c r="L274" s="56"/>
      <c r="M274" s="83">
        <f t="shared" si="86"/>
        <v>-125.17712643407631</v>
      </c>
      <c r="N274" s="10">
        <f t="shared" si="88"/>
        <v>-1.1176529145899672</v>
      </c>
      <c r="O274" s="62"/>
      <c r="P274" s="59"/>
      <c r="Q274" s="89">
        <v>112</v>
      </c>
      <c r="R274" s="89"/>
      <c r="S274" s="5"/>
      <c r="T274" s="5"/>
      <c r="U274" s="5"/>
    </row>
    <row r="275" spans="1:21" x14ac:dyDescent="0.25">
      <c r="A275" s="82" t="s">
        <v>11</v>
      </c>
      <c r="B275" s="31">
        <v>11.8</v>
      </c>
      <c r="C275" s="5"/>
      <c r="D275" s="1">
        <v>2668</v>
      </c>
      <c r="E275" s="5"/>
      <c r="F275" s="5"/>
      <c r="G275" s="26">
        <f>(5.01*(B275^0.59)*Z$71)/(86.4*I$25)</f>
        <v>3.3437812737375903</v>
      </c>
      <c r="H275" s="42">
        <f t="shared" si="89"/>
        <v>6.9459542380663191</v>
      </c>
      <c r="I275" s="42">
        <f t="shared" si="87"/>
        <v>2.8946569691717579</v>
      </c>
      <c r="J275" s="87">
        <v>3.9</v>
      </c>
      <c r="K275" s="56"/>
      <c r="L275" s="56"/>
      <c r="M275" s="83">
        <f t="shared" si="86"/>
        <v>-139.4771264340763</v>
      </c>
      <c r="N275" s="10">
        <f t="shared" si="88"/>
        <v>-1.146073347856009</v>
      </c>
      <c r="O275" s="83"/>
      <c r="P275" s="83"/>
      <c r="Q275" s="89">
        <v>121.7</v>
      </c>
      <c r="R275" s="89"/>
      <c r="S275" s="5"/>
      <c r="T275" s="5"/>
      <c r="U275" s="5"/>
    </row>
    <row r="276" spans="1:21" x14ac:dyDescent="0.25">
      <c r="A276" s="82" t="s">
        <v>12</v>
      </c>
      <c r="B276" s="11">
        <v>1999</v>
      </c>
      <c r="C276" s="11">
        <v>1999</v>
      </c>
      <c r="D276" s="11">
        <v>1999</v>
      </c>
      <c r="E276" s="11">
        <v>1999</v>
      </c>
      <c r="F276" s="11">
        <v>1999</v>
      </c>
      <c r="G276" s="11">
        <v>1999</v>
      </c>
      <c r="H276" s="11">
        <v>1999</v>
      </c>
      <c r="I276" s="11">
        <v>1999</v>
      </c>
      <c r="J276" s="47" t="s">
        <v>70</v>
      </c>
      <c r="K276" s="27"/>
      <c r="L276" s="27"/>
      <c r="M276" s="39" t="s">
        <v>60</v>
      </c>
      <c r="N276" s="39" t="s">
        <v>73</v>
      </c>
      <c r="O276" s="105" t="s">
        <v>57</v>
      </c>
      <c r="P276" s="105"/>
      <c r="Q276" s="10"/>
      <c r="R276" s="10"/>
      <c r="S276" s="5"/>
      <c r="T276" s="5"/>
      <c r="U276" s="5"/>
    </row>
    <row r="277" spans="1:21" x14ac:dyDescent="0.25">
      <c r="A277" s="82" t="s">
        <v>0</v>
      </c>
      <c r="B277" s="31">
        <v>100.2</v>
      </c>
      <c r="C277" s="5"/>
      <c r="D277" s="10">
        <v>9.02</v>
      </c>
      <c r="E277" s="5"/>
      <c r="F277" s="5"/>
      <c r="G277" s="26">
        <f>(5.01*(B277^0.59)*Z$71)/(86.4*I$14)</f>
        <v>11.812435024669126</v>
      </c>
      <c r="H277" s="42">
        <f>L$32^(J277-(0.6458446*LN(P$36))-(9.53942*N277*(P$36/P$35))+(4.8904*N277))</f>
        <v>21.350756553311147</v>
      </c>
      <c r="I277" s="42">
        <f>((L$32^(J277-(0.6458446*LN(P$36))-(9.53942*N277*(P$36/P$35))+(4.8904*N277)))/1000)*$Z$71</f>
        <v>8.8977142860268863</v>
      </c>
      <c r="J277" s="87">
        <v>4.7</v>
      </c>
      <c r="K277" s="56"/>
      <c r="L277" s="56"/>
      <c r="M277" s="83">
        <f t="shared" ref="M277:M288" si="90">(B277-(0.74*P$278))</f>
        <v>-13.828356692800782</v>
      </c>
      <c r="N277" s="10">
        <f>M277/Q277</f>
        <v>-0.1093150726703619</v>
      </c>
      <c r="O277" s="50" t="s">
        <v>58</v>
      </c>
      <c r="P277" s="83">
        <f>(B277+B278+B279+B280+B281+B282+B283+B284+B285+B286+B287+B288)/12</f>
        <v>98.316666666666663</v>
      </c>
      <c r="Q277" s="89">
        <v>126.5</v>
      </c>
      <c r="R277" s="89"/>
      <c r="S277" s="5"/>
      <c r="T277" s="5"/>
      <c r="U277" s="5"/>
    </row>
    <row r="278" spans="1:21" x14ac:dyDescent="0.25">
      <c r="A278" s="82" t="s">
        <v>1</v>
      </c>
      <c r="B278" s="31">
        <v>485.5</v>
      </c>
      <c r="C278" s="5"/>
      <c r="D278" s="1">
        <v>27718</v>
      </c>
      <c r="E278" s="5"/>
      <c r="F278" s="5"/>
      <c r="G278" s="26">
        <f>(5.01*(B278^0.59)*Z$71)/(86.4*J$15)</f>
        <v>32.036334609515663</v>
      </c>
      <c r="H278" s="42">
        <f>L$32^(J278-(0.6458446*LN(P$36))-(9.53942*N278*(P$36/P$35))+(4.8904*N278))</f>
        <v>60.629533315654562</v>
      </c>
      <c r="I278" s="42">
        <f t="shared" ref="I278:I288" si="91">((L$32^(J278-(0.6458446*LN(P$36))-(9.53942*N278*(P$36/P$35))+(4.8904*N278)))/1000)*$Z$71</f>
        <v>25.266751713965885</v>
      </c>
      <c r="J278" s="87">
        <v>4.7</v>
      </c>
      <c r="K278" s="56"/>
      <c r="L278" s="56"/>
      <c r="M278" s="83">
        <f t="shared" si="90"/>
        <v>371.4716433071992</v>
      </c>
      <c r="N278" s="10">
        <f t="shared" ref="N278:N288" si="92">M278/Q278</f>
        <v>3.2414628560837628</v>
      </c>
      <c r="O278" s="50" t="s">
        <v>66</v>
      </c>
      <c r="P278" s="83">
        <f>((((B277-P277)^2+(B278-P277)^2+(B279-P277)^2+(B280-P277)^2+(B281-P277)^2+(B282-P277)^2+(B283-P277)^2+(B284-P277)^2+(B285-P277)^2+(B286-P277)^2+(B287-P277)^2+(B288-P277)^2))/(12-1))^0.5</f>
        <v>154.09237390919026</v>
      </c>
      <c r="Q278" s="89">
        <v>114.6</v>
      </c>
      <c r="R278" s="89"/>
      <c r="S278" s="5"/>
      <c r="T278" s="5"/>
      <c r="U278" s="5"/>
    </row>
    <row r="279" spans="1:21" x14ac:dyDescent="0.25">
      <c r="A279" s="82" t="s">
        <v>2</v>
      </c>
      <c r="B279" s="31">
        <v>267.3</v>
      </c>
      <c r="C279" s="5"/>
      <c r="D279" s="1">
        <v>23906</v>
      </c>
      <c r="E279" s="5"/>
      <c r="F279" s="5"/>
      <c r="G279" s="26">
        <f>(5.01*(B279^0.59)*Z$71)/(86.4*I$16)</f>
        <v>21.074479763960227</v>
      </c>
      <c r="H279" s="42">
        <f>L$32^(J279-(0.6458446*LN(P$36))-(9.53942*N279*(P$36/P$35))+(4.8904*N279))</f>
        <v>31.856674990441178</v>
      </c>
      <c r="I279" s="42">
        <f t="shared" si="91"/>
        <v>13.275950735516455</v>
      </c>
      <c r="J279" s="87">
        <v>4.7</v>
      </c>
      <c r="K279" s="56"/>
      <c r="L279" s="58"/>
      <c r="M279" s="83">
        <f t="shared" si="90"/>
        <v>153.27164330719921</v>
      </c>
      <c r="N279" s="10">
        <f t="shared" si="92"/>
        <v>1.1753960376318957</v>
      </c>
      <c r="O279" s="83"/>
      <c r="P279" s="83"/>
      <c r="Q279" s="89">
        <v>130.4</v>
      </c>
      <c r="R279" s="89"/>
      <c r="S279" s="5"/>
      <c r="T279" s="5"/>
      <c r="U279" s="5"/>
    </row>
    <row r="280" spans="1:21" x14ac:dyDescent="0.25">
      <c r="A280" s="82" t="s">
        <v>3</v>
      </c>
      <c r="B280" s="31">
        <v>232</v>
      </c>
      <c r="C280" s="5"/>
      <c r="D280" s="1">
        <v>19906</v>
      </c>
      <c r="E280" s="5"/>
      <c r="F280" s="5"/>
      <c r="G280" s="26">
        <f>(5.01*(B280^0.59)*Z$71)/(86.4*I$17)</f>
        <v>20.031147418806015</v>
      </c>
      <c r="H280" s="42">
        <f>L$32^(J280-(0.6458446*LN(P$36))-(9.53942*N280*(P$36/P$35))+(4.8904*N280))</f>
        <v>29.435799535070142</v>
      </c>
      <c r="I280" s="42">
        <f>((L$32^(J280-(0.6458446*LN(P$36))-(9.53942*N280*(P$36/P$35))+(4.8904*N280)))/1000)*$Z$71</f>
        <v>12.267075098245131</v>
      </c>
      <c r="J280" s="87">
        <v>4.7</v>
      </c>
      <c r="K280" s="56"/>
      <c r="L280" s="56"/>
      <c r="M280" s="83">
        <f t="shared" si="90"/>
        <v>117.97164330719922</v>
      </c>
      <c r="N280" s="10">
        <f t="shared" si="92"/>
        <v>0.92165346333749387</v>
      </c>
      <c r="O280" s="59"/>
      <c r="P280" s="59"/>
      <c r="Q280" s="89">
        <v>128</v>
      </c>
      <c r="R280" s="89"/>
      <c r="S280" s="5"/>
      <c r="T280" s="5"/>
      <c r="U280" s="5"/>
    </row>
    <row r="281" spans="1:21" x14ac:dyDescent="0.25">
      <c r="A281" s="82" t="s">
        <v>4</v>
      </c>
      <c r="B281" s="31">
        <v>77.400000000000006</v>
      </c>
      <c r="C281" s="5"/>
      <c r="D281" s="1">
        <v>11746</v>
      </c>
      <c r="E281" s="5"/>
      <c r="F281" s="5"/>
      <c r="G281" s="26">
        <f>(5.01*(B281^0.59)*Z$71)/(86.4*I$18)</f>
        <v>10.143425498658706</v>
      </c>
      <c r="H281" s="42">
        <f t="shared" ref="H281:H288" si="93">L$32^(J281-(0.6458446*LN(P$36))-(9.53942*N281*(P$36/P$35))+(4.8904*N281))</f>
        <v>20.142481722327496</v>
      </c>
      <c r="I281" s="42">
        <f t="shared" si="91"/>
        <v>8.394177832962761</v>
      </c>
      <c r="J281" s="87">
        <v>4.7</v>
      </c>
      <c r="K281" s="56"/>
      <c r="L281" s="56"/>
      <c r="M281" s="83">
        <f t="shared" si="90"/>
        <v>-36.628356692800779</v>
      </c>
      <c r="N281" s="10">
        <f t="shared" si="92"/>
        <v>-0.29634592793528142</v>
      </c>
      <c r="O281" s="59"/>
      <c r="P281" s="59"/>
      <c r="Q281" s="89">
        <v>123.6</v>
      </c>
      <c r="R281" s="89"/>
      <c r="S281" s="5"/>
      <c r="T281" s="5"/>
      <c r="U281" s="5"/>
    </row>
    <row r="282" spans="1:21" x14ac:dyDescent="0.25">
      <c r="A282" s="82" t="s">
        <v>5</v>
      </c>
      <c r="B282" s="31">
        <v>3.4</v>
      </c>
      <c r="C282" s="5"/>
      <c r="D282" s="1">
        <v>3287</v>
      </c>
      <c r="E282" s="5"/>
      <c r="F282" s="5"/>
      <c r="G282" s="26">
        <f>(5.01*(B282^0.59)*Z$71)/(86.4*I$19)</f>
        <v>1.6582136167361958</v>
      </c>
      <c r="H282" s="42">
        <f t="shared" si="93"/>
        <v>7.2459912861368334</v>
      </c>
      <c r="I282" s="42">
        <f t="shared" si="91"/>
        <v>3.0196944085846638</v>
      </c>
      <c r="J282" s="87">
        <v>3.9</v>
      </c>
      <c r="K282" s="56"/>
      <c r="L282" s="56"/>
      <c r="M282" s="83">
        <f t="shared" si="90"/>
        <v>-110.62835669280078</v>
      </c>
      <c r="N282" s="10">
        <f>M282/Q282</f>
        <v>-1.0103046273315139</v>
      </c>
      <c r="O282" s="59"/>
      <c r="P282" s="59"/>
      <c r="Q282" s="89">
        <v>109.5</v>
      </c>
      <c r="R282" s="89"/>
      <c r="S282" s="5"/>
      <c r="T282" s="5"/>
      <c r="U282" s="5"/>
    </row>
    <row r="283" spans="1:21" x14ac:dyDescent="0.25">
      <c r="A283" s="82" t="s">
        <v>6</v>
      </c>
      <c r="B283" s="31">
        <v>0.1</v>
      </c>
      <c r="C283" s="5"/>
      <c r="D283" s="10">
        <v>0.70399999999999996</v>
      </c>
      <c r="E283" s="5"/>
      <c r="F283" s="5"/>
      <c r="G283" s="26">
        <f>(5.01*(B283^0.59)*Z$71)/(86.4*I$20)</f>
        <v>0.20036759109694574</v>
      </c>
      <c r="H283" s="42">
        <f t="shared" si="93"/>
        <v>1.5821333573159275</v>
      </c>
      <c r="I283" s="42">
        <f t="shared" si="91"/>
        <v>0.65933825532783974</v>
      </c>
      <c r="J283" s="87">
        <v>2.4</v>
      </c>
      <c r="K283" s="56"/>
      <c r="L283" s="56"/>
      <c r="M283" s="83">
        <f t="shared" si="90"/>
        <v>-113.92835669280079</v>
      </c>
      <c r="N283" s="10">
        <f t="shared" si="92"/>
        <v>-1.0798896368985857</v>
      </c>
      <c r="O283" s="59"/>
      <c r="P283" s="59"/>
      <c r="Q283" s="89">
        <v>105.5</v>
      </c>
      <c r="R283" s="89"/>
      <c r="S283" s="5"/>
      <c r="T283" s="5"/>
      <c r="U283" s="5"/>
    </row>
    <row r="284" spans="1:21" x14ac:dyDescent="0.25">
      <c r="A284" s="82" t="s">
        <v>7</v>
      </c>
      <c r="B284" s="31">
        <v>0.5</v>
      </c>
      <c r="C284" s="5"/>
      <c r="D284" s="10">
        <v>0.30099999999999999</v>
      </c>
      <c r="E284" s="5"/>
      <c r="F284" s="5"/>
      <c r="G284" s="26">
        <f>(5.01*(B284^0.59)*Z$71)/(86.4*I$21)</f>
        <v>0.5178688388766739</v>
      </c>
      <c r="H284" s="42">
        <f t="shared" si="93"/>
        <v>0.43002960249921918</v>
      </c>
      <c r="I284" s="42">
        <f t="shared" si="91"/>
        <v>0.1792105365455246</v>
      </c>
      <c r="J284" s="87">
        <v>1.1000000000000001</v>
      </c>
      <c r="K284" s="56"/>
      <c r="L284" s="56"/>
      <c r="M284" s="83">
        <f t="shared" si="90"/>
        <v>-113.52835669280078</v>
      </c>
      <c r="N284" s="10">
        <f t="shared" si="92"/>
        <v>-1.0884789711677927</v>
      </c>
      <c r="O284" s="60"/>
      <c r="P284" s="59"/>
      <c r="Q284" s="89">
        <v>104.3</v>
      </c>
      <c r="R284" s="89"/>
      <c r="S284" s="5"/>
      <c r="T284" s="5"/>
      <c r="U284" s="5"/>
    </row>
    <row r="285" spans="1:21" x14ac:dyDescent="0.25">
      <c r="A285" s="82" t="s">
        <v>8</v>
      </c>
      <c r="B285" s="31">
        <v>0.1</v>
      </c>
      <c r="C285" s="5"/>
      <c r="D285" s="10">
        <v>0.20799999999999999</v>
      </c>
      <c r="E285" s="5"/>
      <c r="F285" s="5"/>
      <c r="G285" s="26">
        <f>(5.01*(B285^0.59)*Z$71)/(86.4*I$22)</f>
        <v>0.20704651080017727</v>
      </c>
      <c r="H285" s="42">
        <f t="shared" si="93"/>
        <v>0.42550375991549916</v>
      </c>
      <c r="I285" s="42">
        <f t="shared" si="91"/>
        <v>0.17732443690718513</v>
      </c>
      <c r="J285" s="87">
        <v>1.1000000000000001</v>
      </c>
      <c r="K285" s="56"/>
      <c r="L285" s="56"/>
      <c r="M285" s="83">
        <f t="shared" si="90"/>
        <v>-113.92835669280079</v>
      </c>
      <c r="N285" s="10">
        <f t="shared" si="92"/>
        <v>-1.1224468639684806</v>
      </c>
      <c r="O285" s="59"/>
      <c r="P285" s="59"/>
      <c r="Q285" s="89">
        <v>101.5</v>
      </c>
      <c r="R285" s="89"/>
      <c r="S285" s="5"/>
      <c r="T285" s="5"/>
      <c r="U285" s="5"/>
    </row>
    <row r="286" spans="1:21" ht="18.75" x14ac:dyDescent="0.3">
      <c r="A286" s="82" t="s">
        <v>9</v>
      </c>
      <c r="B286" s="31">
        <v>0</v>
      </c>
      <c r="C286" s="5"/>
      <c r="D286" s="10">
        <v>7.1999999999999995E-2</v>
      </c>
      <c r="E286" s="5"/>
      <c r="F286" s="5"/>
      <c r="G286" s="26">
        <f>(5.01*(B286^0.59)*Z$71)/(86.4*I$23)</f>
        <v>0</v>
      </c>
      <c r="H286" s="42">
        <f t="shared" si="93"/>
        <v>1.5964580004734679</v>
      </c>
      <c r="I286" s="42">
        <f>((L$32^(J286-(0.6458446*LN(P$36))-(9.53942*N286*(P$36/P$35))+(4.8904*N286)))/1000)*$Z$71</f>
        <v>0.66530790711731302</v>
      </c>
      <c r="J286" s="87">
        <v>2.4</v>
      </c>
      <c r="K286" s="56"/>
      <c r="L286" s="56"/>
      <c r="M286" s="83">
        <f t="shared" si="90"/>
        <v>-114.02835669280078</v>
      </c>
      <c r="N286" s="10">
        <f>M286/Q286</f>
        <v>-1.0509525962470119</v>
      </c>
      <c r="O286" s="61"/>
      <c r="P286" s="62"/>
      <c r="Q286" s="89">
        <v>108.5</v>
      </c>
      <c r="R286" s="89"/>
      <c r="S286" s="5"/>
      <c r="T286" s="5"/>
      <c r="U286" s="5"/>
    </row>
    <row r="287" spans="1:21" x14ac:dyDescent="0.25">
      <c r="A287" s="82" t="s">
        <v>10</v>
      </c>
      <c r="B287" s="31">
        <v>0.8</v>
      </c>
      <c r="C287" s="5"/>
      <c r="D287" s="10">
        <v>0.35899999999999999</v>
      </c>
      <c r="E287" s="5"/>
      <c r="F287" s="5"/>
      <c r="G287" s="26">
        <f>(5.01*(B287^0.59)*Z$71)/(86.4*I$24)</f>
        <v>0.70614031730816851</v>
      </c>
      <c r="H287" s="42">
        <f t="shared" si="93"/>
        <v>7.2444954236304966</v>
      </c>
      <c r="I287" s="42">
        <f t="shared" si="91"/>
        <v>3.0190710228437729</v>
      </c>
      <c r="J287" s="87">
        <v>3.9</v>
      </c>
      <c r="K287" s="56"/>
      <c r="L287" s="56"/>
      <c r="M287" s="83">
        <f t="shared" si="90"/>
        <v>-113.22835669280079</v>
      </c>
      <c r="N287" s="10">
        <f t="shared" si="92"/>
        <v>-1.0109674704714355</v>
      </c>
      <c r="O287" s="10"/>
      <c r="P287" s="83"/>
      <c r="Q287" s="89">
        <v>112</v>
      </c>
      <c r="R287" s="89"/>
      <c r="S287" s="5"/>
      <c r="T287" s="5"/>
      <c r="U287" s="5"/>
    </row>
    <row r="288" spans="1:21" x14ac:dyDescent="0.25">
      <c r="A288" s="82" t="s">
        <v>11</v>
      </c>
      <c r="B288" s="31">
        <v>12.5</v>
      </c>
      <c r="C288" s="5"/>
      <c r="D288" s="1">
        <v>1966</v>
      </c>
      <c r="E288" s="5"/>
      <c r="F288" s="5"/>
      <c r="G288" s="26">
        <f>(5.01*(B288^0.59)*Z$71)/(86.4*I$25)</f>
        <v>3.4594287043447944</v>
      </c>
      <c r="H288" s="42">
        <f t="shared" si="93"/>
        <v>7.6544353678671406</v>
      </c>
      <c r="I288" s="42">
        <f t="shared" si="91"/>
        <v>3.1899093952049524</v>
      </c>
      <c r="J288" s="87">
        <v>3.9</v>
      </c>
      <c r="K288" s="56"/>
      <c r="L288" s="56"/>
      <c r="M288" s="83">
        <f t="shared" si="90"/>
        <v>-101.52835669280078</v>
      </c>
      <c r="N288" s="10">
        <f t="shared" si="92"/>
        <v>-0.83425108211011323</v>
      </c>
      <c r="O288" s="83"/>
      <c r="P288" s="83"/>
      <c r="Q288" s="89">
        <v>121.7</v>
      </c>
      <c r="R288" s="89"/>
      <c r="S288" s="5"/>
      <c r="T288" s="5"/>
      <c r="U288" s="5"/>
    </row>
    <row r="289" spans="1:21" x14ac:dyDescent="0.25">
      <c r="A289" s="82" t="s">
        <v>12</v>
      </c>
      <c r="B289" s="11">
        <v>2000</v>
      </c>
      <c r="C289" s="11">
        <v>2000</v>
      </c>
      <c r="D289" s="11">
        <v>2000</v>
      </c>
      <c r="E289" s="11">
        <v>2000</v>
      </c>
      <c r="F289" s="11">
        <v>2000</v>
      </c>
      <c r="G289" s="11">
        <v>2000</v>
      </c>
      <c r="H289" s="11">
        <v>2000</v>
      </c>
      <c r="I289" s="11">
        <v>2000</v>
      </c>
      <c r="J289" s="47" t="s">
        <v>70</v>
      </c>
      <c r="K289" s="27"/>
      <c r="L289" s="27"/>
      <c r="M289" s="39" t="s">
        <v>60</v>
      </c>
      <c r="N289" s="39" t="s">
        <v>73</v>
      </c>
      <c r="O289" s="105" t="s">
        <v>57</v>
      </c>
      <c r="P289" s="105"/>
      <c r="Q289" s="10"/>
      <c r="R289" s="10"/>
      <c r="S289" s="5"/>
      <c r="T289" s="5"/>
      <c r="U289" s="5"/>
    </row>
    <row r="290" spans="1:21" x14ac:dyDescent="0.25">
      <c r="A290" s="82" t="s">
        <v>0</v>
      </c>
      <c r="B290" s="31">
        <v>111.6</v>
      </c>
      <c r="C290" s="5"/>
      <c r="D290" s="1">
        <v>9716</v>
      </c>
      <c r="E290" s="5"/>
      <c r="F290" s="5"/>
      <c r="G290" s="26">
        <f>(5.01*(B290^0.59)*Z$71)/(86.4*I$14)</f>
        <v>12.58778602105477</v>
      </c>
      <c r="H290" s="42">
        <f>L$32^(J290-(0.6458446*LN(P$36))-(9.53942*N290*(P$36/P$35))+(4.8904*N290))</f>
        <v>24.730540934728651</v>
      </c>
      <c r="I290" s="42">
        <f>((L$32^(J290-(0.6458446*LN(P$36))-(9.53942*N290*(P$36/P$35))+(4.8904*N290)))/1000)*$Z$71</f>
        <v>10.306205629138818</v>
      </c>
      <c r="J290" s="87">
        <v>4.7</v>
      </c>
      <c r="K290" s="56"/>
      <c r="L290" s="56"/>
      <c r="M290" s="83">
        <f t="shared" ref="M290:M301" si="94">(B290-(0.74*P$291))</f>
        <v>45.852828856799206</v>
      </c>
      <c r="N290" s="10">
        <f>M290/Q290</f>
        <v>0.36247295538971702</v>
      </c>
      <c r="O290" s="50" t="s">
        <v>58</v>
      </c>
      <c r="P290" s="83">
        <f>(B290+B291+B292+B293+B294+B295+B296+B297+B298+B299+B300+B301)/12</f>
        <v>65.583333333333329</v>
      </c>
      <c r="Q290" s="89">
        <v>126.5</v>
      </c>
      <c r="R290" s="89"/>
      <c r="S290" s="5"/>
      <c r="T290" s="5"/>
      <c r="U290" s="5"/>
    </row>
    <row r="291" spans="1:21" x14ac:dyDescent="0.25">
      <c r="A291" s="82" t="s">
        <v>1</v>
      </c>
      <c r="B291" s="31">
        <v>244</v>
      </c>
      <c r="C291" s="5"/>
      <c r="D291" s="1">
        <v>18162</v>
      </c>
      <c r="E291" s="5"/>
      <c r="F291" s="5"/>
      <c r="G291" s="26">
        <f>(5.01*(B291^0.59)*Z$71)/(86.4*J$15)</f>
        <v>21.347703903022751</v>
      </c>
      <c r="H291" s="42">
        <f>L$32^(J291-(0.6458446*LN(P$36))-(9.53942*N291*(P$36/P$35))+(4.8904*N291))</f>
        <v>35.859940310110467</v>
      </c>
      <c r="I291" s="42">
        <f t="shared" ref="I291:I301" si="95">((L$32^(J291-(0.6458446*LN(P$36))-(9.53942*N291*(P$36/P$35))+(4.8904*N291)))/1000)*$Z$71</f>
        <v>14.944271524835436</v>
      </c>
      <c r="J291" s="87">
        <v>4.7</v>
      </c>
      <c r="K291" s="56"/>
      <c r="L291" s="56"/>
      <c r="M291" s="83">
        <f t="shared" si="94"/>
        <v>178.25282885679923</v>
      </c>
      <c r="N291" s="10">
        <f t="shared" ref="N291:N301" si="96">M291/Q291</f>
        <v>1.5554348067783528</v>
      </c>
      <c r="O291" s="50" t="s">
        <v>66</v>
      </c>
      <c r="P291" s="83">
        <f>((((B290-P290)^2+(B291-P290)^2+(B292-P290)^2+(B293-P290)^2+(B294-P290)^2+(B295-P290)^2+(B296-P290)^2+(B297-P290)^2+(B298-P290)^2+(B299-P290)^2+(B300-P290)^2+(B301-P290)^2))/(12-1))^0.5</f>
        <v>88.847528571892951</v>
      </c>
      <c r="Q291" s="89">
        <v>114.6</v>
      </c>
      <c r="R291" s="89"/>
      <c r="S291" s="5"/>
      <c r="T291" s="5"/>
      <c r="U291" s="5"/>
    </row>
    <row r="292" spans="1:21" x14ac:dyDescent="0.25">
      <c r="A292" s="82" t="s">
        <v>2</v>
      </c>
      <c r="B292" s="31">
        <v>128.69999999999999</v>
      </c>
      <c r="C292" s="5"/>
      <c r="D292" s="1">
        <v>14584</v>
      </c>
      <c r="E292" s="5"/>
      <c r="F292" s="5"/>
      <c r="G292" s="26">
        <f>(5.01*(B292^0.59)*Z$71)/(86.4*I$16)</f>
        <v>13.692376095528276</v>
      </c>
      <c r="H292" s="42">
        <f>L$32^(J292-(0.6458446*LN(P$36))-(9.53942*N292*(P$36/P$35))+(4.8904*N292))</f>
        <v>25.674749013924963</v>
      </c>
      <c r="I292" s="42">
        <f t="shared" si="95"/>
        <v>10.699694904063088</v>
      </c>
      <c r="J292" s="87">
        <v>4.7</v>
      </c>
      <c r="K292" s="56"/>
      <c r="L292" s="58"/>
      <c r="M292" s="83">
        <f t="shared" si="94"/>
        <v>62.952828856799201</v>
      </c>
      <c r="N292" s="10">
        <f t="shared" si="96"/>
        <v>0.48276709246011656</v>
      </c>
      <c r="O292" s="83"/>
      <c r="P292" s="83"/>
      <c r="Q292" s="89">
        <v>130.4</v>
      </c>
      <c r="R292" s="89"/>
      <c r="S292" s="5"/>
      <c r="T292" s="5"/>
      <c r="U292" s="5"/>
    </row>
    <row r="293" spans="1:21" x14ac:dyDescent="0.25">
      <c r="A293" s="82" t="s">
        <v>3</v>
      </c>
      <c r="B293" s="31">
        <v>215.2</v>
      </c>
      <c r="C293" s="5"/>
      <c r="D293" s="1">
        <v>16996</v>
      </c>
      <c r="E293" s="5"/>
      <c r="F293" s="5"/>
      <c r="G293" s="26">
        <f>(5.01*(B293^0.59)*Z$71)/(86.4*I$17)</f>
        <v>19.162177272844836</v>
      </c>
      <c r="H293" s="42">
        <f>L$32^(J293-(0.6458446*LN(P$36))-(9.53942*N293*(P$36/P$35))+(4.8904*N293))</f>
        <v>31.779413590763838</v>
      </c>
      <c r="I293" s="42">
        <f>((L$32^(J293-(0.6458446*LN(P$36))-(9.53942*N293*(P$36/P$35))+(4.8904*N293)))/1000)*$Z$71</f>
        <v>13.243752819814922</v>
      </c>
      <c r="J293" s="87">
        <v>4.7</v>
      </c>
      <c r="K293" s="56"/>
      <c r="L293" s="56"/>
      <c r="M293" s="83">
        <f t="shared" si="94"/>
        <v>149.45282885679921</v>
      </c>
      <c r="N293" s="10">
        <f t="shared" si="96"/>
        <v>1.1676002254437439</v>
      </c>
      <c r="O293" s="83"/>
      <c r="P293" s="83"/>
      <c r="Q293" s="89">
        <v>128</v>
      </c>
      <c r="R293" s="89"/>
      <c r="S293" s="5"/>
      <c r="T293" s="5"/>
      <c r="U293" s="5"/>
    </row>
    <row r="294" spans="1:21" x14ac:dyDescent="0.25">
      <c r="A294" s="82" t="s">
        <v>4</v>
      </c>
      <c r="B294" s="31">
        <v>57</v>
      </c>
      <c r="C294" s="5"/>
      <c r="D294" s="1">
        <v>10063</v>
      </c>
      <c r="E294" s="5"/>
      <c r="F294" s="5"/>
      <c r="G294" s="26">
        <f>(5.01*(B294^0.59)*Z$71)/(86.4*I$18)</f>
        <v>8.4682494344856423</v>
      </c>
      <c r="H294" s="42">
        <f t="shared" ref="H294:H301" si="97">L$32^(J294-(0.6458446*LN(P$36))-(9.53942*N294*(P$36/P$35))+(4.8904*N294))</f>
        <v>21.608637835031786</v>
      </c>
      <c r="I294" s="42">
        <f t="shared" si="95"/>
        <v>9.0051837313711474</v>
      </c>
      <c r="J294" s="87">
        <v>4.7</v>
      </c>
      <c r="K294" s="56"/>
      <c r="L294" s="56"/>
      <c r="M294" s="83">
        <f t="shared" si="94"/>
        <v>-8.7471711432007879</v>
      </c>
      <c r="N294" s="10">
        <f t="shared" si="96"/>
        <v>-7.0769993067967538E-2</v>
      </c>
      <c r="O294" s="83"/>
      <c r="P294" s="83"/>
      <c r="Q294" s="89">
        <v>123.6</v>
      </c>
      <c r="R294" s="89"/>
      <c r="S294" s="5"/>
      <c r="T294" s="5"/>
      <c r="U294" s="5"/>
    </row>
    <row r="295" spans="1:21" x14ac:dyDescent="0.25">
      <c r="A295" s="82" t="s">
        <v>5</v>
      </c>
      <c r="B295" s="31">
        <v>6.7</v>
      </c>
      <c r="C295" s="5"/>
      <c r="D295" s="1">
        <v>3017</v>
      </c>
      <c r="E295" s="5"/>
      <c r="F295" s="5"/>
      <c r="G295" s="26">
        <f>(5.01*(B295^0.59)*Z$71)/(86.4*I$19)</f>
        <v>2.4742982595940295</v>
      </c>
      <c r="H295" s="42">
        <f t="shared" si="97"/>
        <v>8.3911177332635365</v>
      </c>
      <c r="I295" s="42">
        <f t="shared" si="95"/>
        <v>3.4969144041602465</v>
      </c>
      <c r="J295" s="87">
        <v>3.9</v>
      </c>
      <c r="K295" s="56"/>
      <c r="L295" s="56"/>
      <c r="M295" s="83">
        <f t="shared" si="94"/>
        <v>-59.047171143200785</v>
      </c>
      <c r="N295" s="10">
        <f t="shared" si="96"/>
        <v>-0.5392435720840254</v>
      </c>
      <c r="O295" s="59"/>
      <c r="P295" s="59"/>
      <c r="Q295" s="89">
        <v>109.5</v>
      </c>
      <c r="R295" s="89"/>
      <c r="S295" s="5"/>
      <c r="T295" s="5"/>
      <c r="U295" s="5"/>
    </row>
    <row r="296" spans="1:21" x14ac:dyDescent="0.25">
      <c r="A296" s="82" t="s">
        <v>6</v>
      </c>
      <c r="B296" s="31">
        <v>0</v>
      </c>
      <c r="C296" s="5"/>
      <c r="D296" s="10">
        <v>0.84399999999999997</v>
      </c>
      <c r="E296" s="5"/>
      <c r="F296" s="5"/>
      <c r="G296" s="26">
        <f>(5.01*(B296^0.59)*Z$71)/(86.4*I$20)</f>
        <v>0</v>
      </c>
      <c r="H296" s="42">
        <f t="shared" si="97"/>
        <v>1.8239863097563853</v>
      </c>
      <c r="I296" s="42">
        <f t="shared" si="95"/>
        <v>0.76012805472787603</v>
      </c>
      <c r="J296" s="87">
        <v>2.4</v>
      </c>
      <c r="K296" s="56"/>
      <c r="L296" s="56"/>
      <c r="M296" s="83">
        <f t="shared" si="94"/>
        <v>-65.747171143200788</v>
      </c>
      <c r="N296" s="10">
        <f t="shared" si="96"/>
        <v>-0.6231959350066425</v>
      </c>
      <c r="O296" s="59"/>
      <c r="P296" s="59"/>
      <c r="Q296" s="89">
        <v>105.5</v>
      </c>
      <c r="R296" s="89"/>
      <c r="S296" s="5"/>
      <c r="T296" s="5"/>
      <c r="U296" s="5"/>
    </row>
    <row r="297" spans="1:21" x14ac:dyDescent="0.25">
      <c r="A297" s="82" t="s">
        <v>7</v>
      </c>
      <c r="B297" s="31">
        <v>0</v>
      </c>
      <c r="C297" s="5"/>
      <c r="D297" s="10">
        <v>0.107</v>
      </c>
      <c r="E297" s="5"/>
      <c r="F297" s="5"/>
      <c r="G297" s="26">
        <f>(5.01*(B297^0.59)*Z$71)/(86.4*I$21)</f>
        <v>0</v>
      </c>
      <c r="H297" s="42">
        <f t="shared" si="97"/>
        <v>0.49598533142725926</v>
      </c>
      <c r="I297" s="42">
        <f t="shared" si="95"/>
        <v>0.206696927018996</v>
      </c>
      <c r="J297" s="87">
        <v>1.1000000000000001</v>
      </c>
      <c r="K297" s="56"/>
      <c r="L297" s="56"/>
      <c r="M297" s="83">
        <f t="shared" si="94"/>
        <v>-65.747171143200788</v>
      </c>
      <c r="N297" s="10">
        <f t="shared" si="96"/>
        <v>-0.63036597452733256</v>
      </c>
      <c r="O297" s="60"/>
      <c r="P297" s="59"/>
      <c r="Q297" s="89">
        <v>104.3</v>
      </c>
      <c r="R297" s="89"/>
      <c r="S297" s="5"/>
      <c r="T297" s="5"/>
      <c r="U297" s="5"/>
    </row>
    <row r="298" spans="1:21" x14ac:dyDescent="0.25">
      <c r="A298" s="82" t="s">
        <v>8</v>
      </c>
      <c r="B298" s="31">
        <v>1.3</v>
      </c>
      <c r="C298" s="5"/>
      <c r="D298" s="10">
        <v>0.47299999999999998</v>
      </c>
      <c r="E298" s="5"/>
      <c r="F298" s="5"/>
      <c r="G298" s="26">
        <f>(5.01*(B298^0.59)*Z$71)/(86.4*I$22)</f>
        <v>0.94036075051553059</v>
      </c>
      <c r="H298" s="42">
        <f t="shared" si="97"/>
        <v>0.49527804238254214</v>
      </c>
      <c r="I298" s="42">
        <f t="shared" si="95"/>
        <v>0.20640217138250064</v>
      </c>
      <c r="J298" s="87">
        <v>1.1000000000000001</v>
      </c>
      <c r="K298" s="56"/>
      <c r="L298" s="56"/>
      <c r="M298" s="83">
        <f t="shared" si="94"/>
        <v>-64.447171143200791</v>
      </c>
      <c r="N298" s="10">
        <f t="shared" si="96"/>
        <v>-0.63494749894779101</v>
      </c>
      <c r="O298" s="59"/>
      <c r="P298" s="59"/>
      <c r="Q298" s="89">
        <v>101.5</v>
      </c>
      <c r="R298" s="89"/>
      <c r="S298" s="5"/>
      <c r="T298" s="5"/>
      <c r="U298" s="5"/>
    </row>
    <row r="299" spans="1:21" ht="18.75" x14ac:dyDescent="0.3">
      <c r="A299" s="82" t="s">
        <v>9</v>
      </c>
      <c r="B299" s="31">
        <v>0</v>
      </c>
      <c r="C299" s="5"/>
      <c r="D299" s="10">
        <v>0.58599999999999997</v>
      </c>
      <c r="E299" s="5"/>
      <c r="F299" s="5"/>
      <c r="G299" s="26">
        <f>(5.01*(B299^0.59)*Z$71)/(86.4*I$23)</f>
        <v>0</v>
      </c>
      <c r="H299" s="42">
        <f t="shared" si="97"/>
        <v>1.8338022435800876</v>
      </c>
      <c r="I299" s="42">
        <f>((L$32^(J299-(0.6458446*LN(P$36))-(9.53942*N299*(P$36/P$35))+(4.8904*N299)))/1000)*$Z$71</f>
        <v>0.76421874698956571</v>
      </c>
      <c r="J299" s="87">
        <v>2.4</v>
      </c>
      <c r="K299" s="56"/>
      <c r="L299" s="56"/>
      <c r="M299" s="83">
        <f t="shared" si="94"/>
        <v>-65.747171143200788</v>
      </c>
      <c r="N299" s="10">
        <f t="shared" si="96"/>
        <v>-0.60596471099724225</v>
      </c>
      <c r="O299" s="61"/>
      <c r="P299" s="62"/>
      <c r="Q299" s="89">
        <v>108.5</v>
      </c>
      <c r="R299" s="89"/>
      <c r="S299" s="5"/>
      <c r="T299" s="5"/>
      <c r="U299" s="5"/>
    </row>
    <row r="300" spans="1:21" x14ac:dyDescent="0.25">
      <c r="A300" s="82" t="s">
        <v>10</v>
      </c>
      <c r="B300" s="31">
        <v>7.2</v>
      </c>
      <c r="C300" s="5"/>
      <c r="D300" s="10">
        <v>1.29</v>
      </c>
      <c r="E300" s="5"/>
      <c r="F300" s="5"/>
      <c r="G300" s="26">
        <f>(5.01*(B300^0.59)*Z$71)/(86.4*I$24)</f>
        <v>2.5816305337035534</v>
      </c>
      <c r="H300" s="42">
        <f t="shared" si="97"/>
        <v>8.4343565540776222</v>
      </c>
      <c r="I300" s="42">
        <f t="shared" si="95"/>
        <v>3.5149337503463087</v>
      </c>
      <c r="J300" s="87">
        <v>3.9</v>
      </c>
      <c r="K300" s="56"/>
      <c r="L300" s="56"/>
      <c r="M300" s="83">
        <f t="shared" si="94"/>
        <v>-58.547171143200785</v>
      </c>
      <c r="N300" s="10">
        <f t="shared" si="96"/>
        <v>-0.52274259949286417</v>
      </c>
      <c r="O300" s="62"/>
      <c r="P300" s="59"/>
      <c r="Q300" s="89">
        <v>112</v>
      </c>
      <c r="R300" s="89"/>
      <c r="S300" s="5"/>
      <c r="T300" s="5"/>
      <c r="U300" s="5"/>
    </row>
    <row r="301" spans="1:21" x14ac:dyDescent="0.25">
      <c r="A301" s="82" t="s">
        <v>11</v>
      </c>
      <c r="B301" s="31">
        <v>15.3</v>
      </c>
      <c r="C301" s="5"/>
      <c r="D301" s="10">
        <v>2.46</v>
      </c>
      <c r="E301" s="5"/>
      <c r="F301" s="5"/>
      <c r="G301" s="26">
        <f>(5.01*(B301^0.59)*Z$71)/(86.4*I$25)</f>
        <v>3.8975834375945442</v>
      </c>
      <c r="H301" s="42">
        <f t="shared" si="97"/>
        <v>8.7235146187716914</v>
      </c>
      <c r="I301" s="42">
        <f t="shared" si="95"/>
        <v>3.6354374822269149</v>
      </c>
      <c r="J301" s="87">
        <v>3.9</v>
      </c>
      <c r="K301" s="56"/>
      <c r="L301" s="56"/>
      <c r="M301" s="83">
        <f t="shared" si="94"/>
        <v>-50.447171143200791</v>
      </c>
      <c r="N301" s="10">
        <f t="shared" si="96"/>
        <v>-0.41452071604930807</v>
      </c>
      <c r="O301" s="83"/>
      <c r="P301" s="83"/>
      <c r="Q301" s="89">
        <v>121.7</v>
      </c>
      <c r="R301" s="89"/>
      <c r="S301" s="5"/>
      <c r="T301" s="5"/>
      <c r="U301" s="5"/>
    </row>
    <row r="302" spans="1:21" x14ac:dyDescent="0.25">
      <c r="A302" s="82" t="s">
        <v>12</v>
      </c>
      <c r="B302" s="11">
        <v>2001</v>
      </c>
      <c r="C302" s="11">
        <v>2001</v>
      </c>
      <c r="D302" s="11">
        <v>2001</v>
      </c>
      <c r="E302" s="11">
        <v>2001</v>
      </c>
      <c r="F302" s="11">
        <v>2001</v>
      </c>
      <c r="G302" s="11">
        <v>2001</v>
      </c>
      <c r="H302" s="11">
        <v>2001</v>
      </c>
      <c r="I302" s="11">
        <v>2001</v>
      </c>
      <c r="J302" s="47" t="s">
        <v>70</v>
      </c>
      <c r="K302" s="27"/>
      <c r="L302" s="27"/>
      <c r="M302" s="39" t="s">
        <v>60</v>
      </c>
      <c r="N302" s="39" t="s">
        <v>73</v>
      </c>
      <c r="O302" s="105" t="s">
        <v>57</v>
      </c>
      <c r="P302" s="105"/>
      <c r="Q302" s="10"/>
      <c r="R302" s="10"/>
      <c r="S302" s="5"/>
      <c r="T302" s="5"/>
      <c r="U302" s="5"/>
    </row>
    <row r="303" spans="1:21" x14ac:dyDescent="0.25">
      <c r="A303" s="82" t="s">
        <v>0</v>
      </c>
      <c r="B303" s="31">
        <v>384.7</v>
      </c>
      <c r="C303" s="5"/>
      <c r="D303" s="1">
        <v>22759</v>
      </c>
      <c r="E303" s="5"/>
      <c r="F303" s="5"/>
      <c r="G303" s="26">
        <f>(5.01*(B303^0.59)*Z$71)/(86.4*I$14)</f>
        <v>26.124595024258543</v>
      </c>
      <c r="H303" s="42">
        <f>L$32^(J303-(0.6458446*LN(P$36))-(9.53942*N303*(P$36/P$35))+(4.8904*N303))</f>
        <v>44.375411119187582</v>
      </c>
      <c r="I303" s="42">
        <f>((L$32^(J303-(0.6458446*LN(P$36))-(9.53942*N303*(P$36/P$35))+(4.8904*N303)))/1000)*$Z$71</f>
        <v>18.493008829810233</v>
      </c>
      <c r="J303" s="87">
        <v>4.7</v>
      </c>
      <c r="K303" s="56"/>
      <c r="L303" s="56"/>
      <c r="M303" s="83">
        <f t="shared" ref="M303:M314" si="98">(B303-(0.74*P$304))</f>
        <v>283.29397894213639</v>
      </c>
      <c r="N303" s="10">
        <f>M303/Q303</f>
        <v>2.2394780944042401</v>
      </c>
      <c r="O303" s="50" t="s">
        <v>58</v>
      </c>
      <c r="P303" s="83">
        <f>(B303+B304+B305+B306+B307+B308+B309+B310+B311+B312+B313+B314)/12</f>
        <v>97.816666666666649</v>
      </c>
      <c r="Q303" s="89">
        <v>126.5</v>
      </c>
      <c r="R303" s="89"/>
      <c r="S303" s="5"/>
      <c r="T303" s="5"/>
      <c r="U303" s="5"/>
    </row>
    <row r="304" spans="1:21" x14ac:dyDescent="0.25">
      <c r="A304" s="82" t="s">
        <v>1</v>
      </c>
      <c r="B304" s="31">
        <v>265.7</v>
      </c>
      <c r="C304" s="5"/>
      <c r="D304" s="1">
        <v>22906</v>
      </c>
      <c r="E304" s="5"/>
      <c r="F304" s="5"/>
      <c r="G304" s="26">
        <f>(5.01*(B304^0.59)*Z$71)/(86.4*J$15)</f>
        <v>22.448234475389363</v>
      </c>
      <c r="H304" s="42">
        <f>L$32^(J304-(0.6458446*LN(P$36))-(9.53942*N304*(P$36/P$35))+(4.8904*N304))</f>
        <v>34.524913212145684</v>
      </c>
      <c r="I304" s="42">
        <f t="shared" ref="I304:I314" si="99">((L$32^(J304-(0.6458446*LN(P$36))-(9.53942*N304*(P$36/P$35))+(4.8904*N304)))/1000)*$Z$71</f>
        <v>14.387912332029593</v>
      </c>
      <c r="J304" s="87">
        <v>4.7</v>
      </c>
      <c r="K304" s="56"/>
      <c r="L304" s="56"/>
      <c r="M304" s="83">
        <f t="shared" si="98"/>
        <v>164.29397894213636</v>
      </c>
      <c r="N304" s="10">
        <f t="shared" ref="N304:N314" si="100">M304/Q304</f>
        <v>1.4336298337010154</v>
      </c>
      <c r="O304" s="50" t="s">
        <v>66</v>
      </c>
      <c r="P304" s="83">
        <f>((((B303-P303)^2+(B304-P303)^2+(B305-P303)^2+(B306-P303)^2+(B307-P303)^2+(B308-P303)^2+(B309-P303)^2+(B310-P303)^2+(B311-P303)^2+(B312-P303)^2+(B313-P303)^2+(B314-P303)^2))/(12-1))^0.5</f>
        <v>137.0351635917076</v>
      </c>
      <c r="Q304" s="89">
        <v>114.6</v>
      </c>
      <c r="R304" s="89"/>
      <c r="S304" s="5"/>
      <c r="T304" s="5"/>
      <c r="U304" s="5"/>
    </row>
    <row r="305" spans="1:21" x14ac:dyDescent="0.25">
      <c r="A305" s="82" t="s">
        <v>2</v>
      </c>
      <c r="B305" s="31">
        <v>286.7</v>
      </c>
      <c r="C305" s="5"/>
      <c r="D305" s="1">
        <v>22189</v>
      </c>
      <c r="E305" s="5"/>
      <c r="F305" s="5"/>
      <c r="G305" s="26">
        <f>(5.01*(B305^0.59)*Z$71)/(86.4*I$16)</f>
        <v>21.963918108075941</v>
      </c>
      <c r="H305" s="42">
        <f>L$32^(J305-(0.6458446*LN(P$36))-(9.53942*N305*(P$36/P$35))+(4.8904*N305))</f>
        <v>34.3889985908203</v>
      </c>
      <c r="I305" s="42">
        <f t="shared" si="99"/>
        <v>14.331271272738451</v>
      </c>
      <c r="J305" s="87">
        <v>4.7</v>
      </c>
      <c r="K305" s="56"/>
      <c r="L305" s="58"/>
      <c r="M305" s="83">
        <f t="shared" si="98"/>
        <v>185.29397894213636</v>
      </c>
      <c r="N305" s="10">
        <f t="shared" si="100"/>
        <v>1.4209660961820272</v>
      </c>
      <c r="O305" s="83"/>
      <c r="P305" s="83"/>
      <c r="Q305" s="89">
        <v>130.4</v>
      </c>
      <c r="R305" s="89"/>
      <c r="S305" s="5"/>
      <c r="T305" s="5"/>
      <c r="U305" s="5"/>
    </row>
    <row r="306" spans="1:21" x14ac:dyDescent="0.25">
      <c r="A306" s="82" t="s">
        <v>3</v>
      </c>
      <c r="B306" s="31">
        <v>136.1</v>
      </c>
      <c r="C306" s="5"/>
      <c r="D306" s="1">
        <v>15543</v>
      </c>
      <c r="E306" s="5"/>
      <c r="F306" s="5"/>
      <c r="G306" s="26">
        <f>(5.01*(B306^0.59)*Z$71)/(86.4*I$17)</f>
        <v>14.62326027467754</v>
      </c>
      <c r="H306" s="42">
        <f>L$32^(J306-(0.6458446*LN(P$36))-(9.53942*N306*(P$36/P$35))+(4.8904*N306))</f>
        <v>24.036215074270984</v>
      </c>
      <c r="I306" s="42">
        <f>((L$32^(J306-(0.6458446*LN(P$36))-(9.53942*N306*(P$36/P$35))+(4.8904*N306)))/1000)*$Z$71</f>
        <v>10.016852270051691</v>
      </c>
      <c r="J306" s="87">
        <v>4.7</v>
      </c>
      <c r="K306" s="56"/>
      <c r="L306" s="56"/>
      <c r="M306" s="83">
        <f t="shared" si="98"/>
        <v>34.693978942136368</v>
      </c>
      <c r="N306" s="10">
        <f t="shared" si="100"/>
        <v>0.27104671048544038</v>
      </c>
      <c r="O306" s="83"/>
      <c r="P306" s="83"/>
      <c r="Q306" s="89">
        <v>128</v>
      </c>
      <c r="R306" s="89"/>
      <c r="S306" s="5"/>
      <c r="T306" s="5"/>
      <c r="U306" s="5"/>
    </row>
    <row r="307" spans="1:21" x14ac:dyDescent="0.25">
      <c r="A307" s="82" t="s">
        <v>4</v>
      </c>
      <c r="B307" s="31">
        <v>34.299999999999997</v>
      </c>
      <c r="C307" s="5"/>
      <c r="D307" s="1">
        <v>7255</v>
      </c>
      <c r="E307" s="5"/>
      <c r="F307" s="5"/>
      <c r="G307" s="26">
        <f>(5.01*(B307^0.59)*Z$71)/(86.4*I$18)</f>
        <v>6.2755386370340327</v>
      </c>
      <c r="H307" s="42">
        <f t="shared" ref="H307:H314" si="101">L$32^(J307-(0.6458446*LN(P$36))-(9.53942*N307*(P$36/P$35))+(4.8904*N307))</f>
        <v>18.653351050089636</v>
      </c>
      <c r="I307" s="42">
        <f t="shared" si="99"/>
        <v>7.7735975166143554</v>
      </c>
      <c r="J307" s="87">
        <v>4.7</v>
      </c>
      <c r="K307" s="56"/>
      <c r="L307" s="56"/>
      <c r="M307" s="83">
        <f t="shared" si="98"/>
        <v>-67.106021057863629</v>
      </c>
      <c r="N307" s="10">
        <f t="shared" si="100"/>
        <v>-0.54292897296006171</v>
      </c>
      <c r="O307" s="59"/>
      <c r="P307" s="59"/>
      <c r="Q307" s="89">
        <v>123.6</v>
      </c>
      <c r="R307" s="89"/>
      <c r="S307" s="5"/>
      <c r="T307" s="5"/>
      <c r="U307" s="5"/>
    </row>
    <row r="308" spans="1:21" x14ac:dyDescent="0.25">
      <c r="A308" s="82" t="s">
        <v>5</v>
      </c>
      <c r="B308" s="31">
        <v>21.6</v>
      </c>
      <c r="C308" s="5"/>
      <c r="D308" s="1">
        <v>4046</v>
      </c>
      <c r="E308" s="5"/>
      <c r="F308" s="5"/>
      <c r="G308" s="26">
        <f>(5.01*(B308^0.59)*Z$71)/(86.4*I$19)</f>
        <v>4.9362327518599729</v>
      </c>
      <c r="H308" s="42">
        <f t="shared" si="101"/>
        <v>7.9099709878086077</v>
      </c>
      <c r="I308" s="42">
        <f t="shared" si="99"/>
        <v>3.2964013094593594</v>
      </c>
      <c r="J308" s="87">
        <v>3.9</v>
      </c>
      <c r="K308" s="56"/>
      <c r="L308" s="56"/>
      <c r="M308" s="83">
        <f t="shared" si="98"/>
        <v>-79.806021057863632</v>
      </c>
      <c r="N308" s="10">
        <f t="shared" si="100"/>
        <v>-0.72882211011747611</v>
      </c>
      <c r="O308" s="59"/>
      <c r="P308" s="59"/>
      <c r="Q308" s="89">
        <v>109.5</v>
      </c>
      <c r="R308" s="89"/>
      <c r="S308" s="5"/>
      <c r="T308" s="5"/>
      <c r="U308" s="5"/>
    </row>
    <row r="309" spans="1:21" x14ac:dyDescent="0.25">
      <c r="A309" s="82" t="s">
        <v>6</v>
      </c>
      <c r="B309" s="31">
        <v>11.5</v>
      </c>
      <c r="C309" s="5"/>
      <c r="D309" s="10">
        <v>2.6</v>
      </c>
      <c r="E309" s="5"/>
      <c r="F309" s="5"/>
      <c r="G309" s="26">
        <f>(5.01*(B309^0.59)*Z$71)/(86.4*I$20)</f>
        <v>3.2933599722917273</v>
      </c>
      <c r="H309" s="42">
        <f t="shared" si="101"/>
        <v>1.6984188868467003</v>
      </c>
      <c r="I309" s="42">
        <f t="shared" si="99"/>
        <v>0.70779908690449389</v>
      </c>
      <c r="J309" s="87">
        <v>2.4</v>
      </c>
      <c r="K309" s="56"/>
      <c r="L309" s="56"/>
      <c r="M309" s="83">
        <f t="shared" si="98"/>
        <v>-89.906021057863626</v>
      </c>
      <c r="N309" s="10">
        <f t="shared" si="100"/>
        <v>-0.85218977306031873</v>
      </c>
      <c r="O309" s="59"/>
      <c r="P309" s="59"/>
      <c r="Q309" s="89">
        <v>105.5</v>
      </c>
      <c r="R309" s="89"/>
      <c r="S309" s="5"/>
      <c r="T309" s="5"/>
      <c r="U309" s="5"/>
    </row>
    <row r="310" spans="1:21" x14ac:dyDescent="0.25">
      <c r="A310" s="82" t="s">
        <v>7</v>
      </c>
      <c r="B310" s="31">
        <v>11.4</v>
      </c>
      <c r="C310" s="5"/>
      <c r="D310" s="1">
        <v>2267</v>
      </c>
      <c r="E310" s="5"/>
      <c r="F310" s="5"/>
      <c r="G310" s="26">
        <f>(5.01*(B310^0.59)*Z$71)/(86.4*I$21)</f>
        <v>3.2764333603783986</v>
      </c>
      <c r="H310" s="42">
        <f t="shared" si="101"/>
        <v>0.46132392284279972</v>
      </c>
      <c r="I310" s="42">
        <f t="shared" si="99"/>
        <v>0.19225213160550836</v>
      </c>
      <c r="J310" s="87">
        <v>1.1000000000000001</v>
      </c>
      <c r="K310" s="56"/>
      <c r="L310" s="56"/>
      <c r="M310" s="83">
        <f t="shared" si="98"/>
        <v>-90.00602105786362</v>
      </c>
      <c r="N310" s="10">
        <f t="shared" si="100"/>
        <v>-0.86295322203129077</v>
      </c>
      <c r="O310" s="60"/>
      <c r="P310" s="59"/>
      <c r="Q310" s="89">
        <v>104.3</v>
      </c>
      <c r="R310" s="89"/>
      <c r="S310" s="5"/>
      <c r="T310" s="5"/>
      <c r="U310" s="5"/>
    </row>
    <row r="311" spans="1:21" x14ac:dyDescent="0.25">
      <c r="A311" s="82" t="s">
        <v>8</v>
      </c>
      <c r="B311" s="31">
        <v>11.4</v>
      </c>
      <c r="C311" s="5"/>
      <c r="D311" s="1">
        <v>2253</v>
      </c>
      <c r="E311" s="5"/>
      <c r="F311" s="5"/>
      <c r="G311" s="26">
        <f>(5.01*(B311^0.59)*Z$71)/(86.4*I$22)</f>
        <v>3.3856478057243455</v>
      </c>
      <c r="H311" s="42">
        <f t="shared" si="101"/>
        <v>0.45791588806372041</v>
      </c>
      <c r="I311" s="42">
        <f t="shared" si="99"/>
        <v>0.19083186719167486</v>
      </c>
      <c r="J311" s="87">
        <v>1.1000000000000001</v>
      </c>
      <c r="K311" s="56"/>
      <c r="L311" s="56"/>
      <c r="M311" s="83">
        <f t="shared" si="98"/>
        <v>-90.00602105786362</v>
      </c>
      <c r="N311" s="10">
        <f t="shared" si="100"/>
        <v>-0.88675882815629181</v>
      </c>
      <c r="O311" s="59"/>
      <c r="P311" s="59"/>
      <c r="Q311" s="89">
        <v>101.5</v>
      </c>
      <c r="R311" s="89"/>
      <c r="S311" s="5"/>
      <c r="T311" s="5"/>
      <c r="U311" s="5"/>
    </row>
    <row r="312" spans="1:21" ht="18.75" x14ac:dyDescent="0.3">
      <c r="A312" s="82" t="s">
        <v>9</v>
      </c>
      <c r="B312" s="31">
        <v>3.1</v>
      </c>
      <c r="C312" s="5"/>
      <c r="D312" s="1">
        <v>1333</v>
      </c>
      <c r="E312" s="5"/>
      <c r="F312" s="5"/>
      <c r="G312" s="26">
        <f>(5.01*(B312^0.59)*Z$71)/(86.4*I$23)</f>
        <v>1.5196055684204184</v>
      </c>
      <c r="H312" s="42">
        <f t="shared" si="101"/>
        <v>1.6701653174842301</v>
      </c>
      <c r="I312" s="42">
        <f>((L$32^(J312-(0.6458446*LN(P$36))-(9.53942*N312*(P$36/P$35))+(4.8904*N312)))/1000)*$Z$71</f>
        <v>0.69602469440837811</v>
      </c>
      <c r="J312" s="87">
        <v>2.4</v>
      </c>
      <c r="K312" s="56"/>
      <c r="L312" s="56"/>
      <c r="M312" s="83">
        <f t="shared" si="98"/>
        <v>-98.306021057863632</v>
      </c>
      <c r="N312" s="10">
        <f t="shared" si="100"/>
        <v>-0.90604627703100116</v>
      </c>
      <c r="O312" s="61"/>
      <c r="P312" s="62"/>
      <c r="Q312" s="89">
        <v>108.5</v>
      </c>
      <c r="R312" s="89"/>
      <c r="S312" s="5"/>
      <c r="T312" s="5"/>
      <c r="U312" s="5"/>
    </row>
    <row r="313" spans="1:21" x14ac:dyDescent="0.25">
      <c r="A313" s="82" t="s">
        <v>10</v>
      </c>
      <c r="B313" s="31">
        <v>3.8</v>
      </c>
      <c r="C313" s="5"/>
      <c r="D313" s="1">
        <v>1049</v>
      </c>
      <c r="E313" s="5"/>
      <c r="F313" s="5"/>
      <c r="G313" s="26">
        <f>(5.01*(B313^0.59)*Z$71)/(86.4*I$24)</f>
        <v>1.7706806366314443</v>
      </c>
      <c r="H313" s="42">
        <f t="shared" si="101"/>
        <v>7.5661816654018992</v>
      </c>
      <c r="I313" s="42">
        <f t="shared" si="99"/>
        <v>3.1531305472395874</v>
      </c>
      <c r="J313" s="87">
        <v>3.9</v>
      </c>
      <c r="K313" s="56"/>
      <c r="L313" s="56"/>
      <c r="M313" s="83">
        <f t="shared" si="98"/>
        <v>-97.606021057863629</v>
      </c>
      <c r="N313" s="10">
        <f t="shared" si="100"/>
        <v>-0.87148233087378235</v>
      </c>
      <c r="O313" s="10"/>
      <c r="P313" s="83"/>
      <c r="Q313" s="89">
        <v>112</v>
      </c>
      <c r="R313" s="89"/>
      <c r="S313" s="5"/>
      <c r="T313" s="5"/>
      <c r="U313" s="5"/>
    </row>
    <row r="314" spans="1:21" x14ac:dyDescent="0.25">
      <c r="A314" s="82" t="s">
        <v>11</v>
      </c>
      <c r="B314" s="31">
        <v>3.5</v>
      </c>
      <c r="C314" s="5"/>
      <c r="D314" s="1">
        <v>1034</v>
      </c>
      <c r="E314" s="5"/>
      <c r="F314" s="5"/>
      <c r="G314" s="26">
        <f>(5.01*(B314^0.59)*Z$71)/(86.4*I$25)</f>
        <v>1.6324038978598614</v>
      </c>
      <c r="H314" s="42">
        <f t="shared" si="101"/>
        <v>7.7257295236011707</v>
      </c>
      <c r="I314" s="42">
        <f t="shared" si="99"/>
        <v>3.219620521665552</v>
      </c>
      <c r="J314" s="87">
        <v>3.9</v>
      </c>
      <c r="K314" s="56"/>
      <c r="L314" s="56"/>
      <c r="M314" s="83">
        <f t="shared" si="98"/>
        <v>-97.906021057863626</v>
      </c>
      <c r="N314" s="10">
        <f t="shared" si="100"/>
        <v>-0.80448661510159103</v>
      </c>
      <c r="O314" s="83"/>
      <c r="P314" s="83"/>
      <c r="Q314" s="89">
        <v>121.7</v>
      </c>
      <c r="R314" s="89"/>
      <c r="S314" s="5"/>
      <c r="T314" s="5"/>
      <c r="U314" s="5"/>
    </row>
    <row r="315" spans="1:21" x14ac:dyDescent="0.25">
      <c r="A315" s="82" t="s">
        <v>12</v>
      </c>
      <c r="B315" s="11">
        <v>2002</v>
      </c>
      <c r="C315" s="11">
        <v>2002</v>
      </c>
      <c r="D315" s="11">
        <v>2002</v>
      </c>
      <c r="E315" s="11">
        <v>2002</v>
      </c>
      <c r="F315" s="11">
        <v>2002</v>
      </c>
      <c r="G315" s="11">
        <v>2002</v>
      </c>
      <c r="H315" s="11">
        <v>2002</v>
      </c>
      <c r="I315" s="11">
        <v>2002</v>
      </c>
      <c r="J315" s="47" t="s">
        <v>70</v>
      </c>
      <c r="K315" s="27"/>
      <c r="L315" s="27"/>
      <c r="M315" s="39" t="s">
        <v>60</v>
      </c>
      <c r="N315" s="39" t="s">
        <v>73</v>
      </c>
      <c r="O315" s="105" t="s">
        <v>57</v>
      </c>
      <c r="P315" s="105"/>
      <c r="Q315" s="10"/>
      <c r="R315" s="10"/>
      <c r="S315" s="5"/>
      <c r="T315" s="5"/>
      <c r="U315" s="5"/>
    </row>
    <row r="316" spans="1:21" x14ac:dyDescent="0.25">
      <c r="A316" s="82" t="s">
        <v>0</v>
      </c>
      <c r="B316" s="10">
        <v>62.7</v>
      </c>
      <c r="C316" s="5"/>
      <c r="D316" s="1">
        <v>6356</v>
      </c>
      <c r="E316" s="5"/>
      <c r="F316" s="5"/>
      <c r="G316" s="26">
        <f>(5.01*(B316^0.59)*Z$71)/(86.4*I$14)</f>
        <v>8.9580880330769048</v>
      </c>
      <c r="H316" s="42">
        <f>L$32^(J316-(0.6458446*LN(P$36))-(9.53942*N316*(P$36/P$35))+(4.8904*N316))</f>
        <v>21.369220161759372</v>
      </c>
      <c r="I316" s="42">
        <f>((L$32^(J316-(0.6458446*LN(P$36))-(9.53942*N316*(P$36/P$35))+(4.8904*N316)))/1000)*$Z$71</f>
        <v>8.9054088102116005</v>
      </c>
      <c r="J316" s="87">
        <v>4.7</v>
      </c>
      <c r="K316" s="56"/>
      <c r="L316" s="56"/>
      <c r="M316" s="83">
        <f t="shared" ref="M316:M327" si="102">(B316-(0.74*P$317))</f>
        <v>-13.477299248052063</v>
      </c>
      <c r="N316" s="10">
        <f>M316/Q316</f>
        <v>-0.10653991500436413</v>
      </c>
      <c r="O316" s="50" t="s">
        <v>58</v>
      </c>
      <c r="P316" s="83">
        <f>(B316+B317+B318+B319+B320+B321+B322+B323+B324+B325+B326+B327)/12</f>
        <v>73.899999999999991</v>
      </c>
      <c r="Q316" s="89">
        <v>126.5</v>
      </c>
      <c r="R316" s="89"/>
      <c r="S316" s="5"/>
      <c r="T316" s="5"/>
      <c r="U316" s="5"/>
    </row>
    <row r="317" spans="1:21" x14ac:dyDescent="0.25">
      <c r="A317" s="82" t="s">
        <v>1</v>
      </c>
      <c r="B317" s="10">
        <v>295.60000000000002</v>
      </c>
      <c r="C317" s="5"/>
      <c r="D317" s="1">
        <v>19803</v>
      </c>
      <c r="E317" s="5"/>
      <c r="F317" s="5"/>
      <c r="G317" s="26">
        <f>(5.01*(B317^0.59)*Z$71)/(86.4*J$15)</f>
        <v>23.905992912834058</v>
      </c>
      <c r="H317" s="42">
        <f>L$32^(J317-(0.6458446*LN(P$36))-(9.53942*N317*(P$36/P$35))+(4.8904*N317))</f>
        <v>40.105718685990986</v>
      </c>
      <c r="I317" s="42">
        <f t="shared" ref="I317:I327" si="103">((L$32^(J317-(0.6458446*LN(P$36))-(9.53942*N317*(P$36/P$35))+(4.8904*N317)))/1000)*$Z$71</f>
        <v>16.713657205199883</v>
      </c>
      <c r="J317" s="87">
        <v>4.7</v>
      </c>
      <c r="K317" s="56"/>
      <c r="L317" s="56"/>
      <c r="M317" s="83">
        <f t="shared" si="102"/>
        <v>219.42270075194796</v>
      </c>
      <c r="N317" s="10">
        <f t="shared" ref="N317:N327" si="104">M317/Q317</f>
        <v>1.914683252634799</v>
      </c>
      <c r="O317" s="50" t="s">
        <v>66</v>
      </c>
      <c r="P317" s="83">
        <f>((((B316-P316)^2+(B317-P316)^2+(B318-P316)^2+(B319-P316)^2+(B320-P316)^2+(B321-P316)^2+(B322-P316)^2+(B323-P316)^2+(B324-P316)^2+(B325-P316)^2+(B326-P316)^2+(B327-P316)^2))/(12-1))^0.5</f>
        <v>102.94229628115144</v>
      </c>
      <c r="Q317" s="89">
        <v>114.6</v>
      </c>
      <c r="R317" s="89"/>
      <c r="S317" s="5"/>
      <c r="T317" s="5"/>
      <c r="U317" s="5"/>
    </row>
    <row r="318" spans="1:21" x14ac:dyDescent="0.25">
      <c r="A318" s="82" t="s">
        <v>2</v>
      </c>
      <c r="B318" s="10">
        <v>223.7</v>
      </c>
      <c r="C318" s="5"/>
      <c r="D318" s="10">
        <v>19.82</v>
      </c>
      <c r="E318" s="5"/>
      <c r="F318" s="5"/>
      <c r="G318" s="26">
        <f>(5.01*(B318^0.59)*Z$71)/(86.4*I$16)</f>
        <v>18.972755391687919</v>
      </c>
      <c r="H318" s="42">
        <f>L$32^(J318-(0.6458446*LN(P$36))-(9.53942*N318*(P$36/P$35))+(4.8904*N318))</f>
        <v>31.4222045111905</v>
      </c>
      <c r="I318" s="42">
        <f t="shared" si="103"/>
        <v>13.09488950799353</v>
      </c>
      <c r="J318" s="87">
        <v>4.7</v>
      </c>
      <c r="K318" s="56"/>
      <c r="L318" s="58"/>
      <c r="M318" s="83">
        <f t="shared" si="102"/>
        <v>147.52270075194792</v>
      </c>
      <c r="N318" s="10">
        <f t="shared" si="104"/>
        <v>1.1313090548462263</v>
      </c>
      <c r="O318" s="83"/>
      <c r="P318" s="83"/>
      <c r="Q318" s="89">
        <v>130.4</v>
      </c>
      <c r="R318" s="89"/>
      <c r="S318" s="5"/>
      <c r="T318" s="5"/>
      <c r="U318" s="5"/>
    </row>
    <row r="319" spans="1:21" x14ac:dyDescent="0.25">
      <c r="A319" s="82" t="s">
        <v>3</v>
      </c>
      <c r="B319" s="10">
        <v>191</v>
      </c>
      <c r="C319" s="5"/>
      <c r="D319" s="1">
        <v>17556</v>
      </c>
      <c r="E319" s="5"/>
      <c r="F319" s="5"/>
      <c r="G319" s="26">
        <f>(5.01*(B319^0.59)*Z$71)/(86.4*I$17)</f>
        <v>17.859841597966003</v>
      </c>
      <c r="H319" s="42">
        <f>L$32^(J319-(0.6458446*LN(P$36))-(9.53942*N319*(P$36/P$35))+(4.8904*N319))</f>
        <v>29.211103367480899</v>
      </c>
      <c r="I319" s="42">
        <f>((L$32^(J319-(0.6458446*LN(P$36))-(9.53942*N319*(P$36/P$35))+(4.8904*N319)))/1000)*$Z$71</f>
        <v>12.173435217363989</v>
      </c>
      <c r="J319" s="87">
        <v>4.7</v>
      </c>
      <c r="K319" s="56"/>
      <c r="L319" s="56"/>
      <c r="M319" s="83">
        <f t="shared" si="102"/>
        <v>114.82270075194793</v>
      </c>
      <c r="N319" s="10">
        <f t="shared" si="104"/>
        <v>0.89705234962459324</v>
      </c>
      <c r="O319" s="83"/>
      <c r="P319" s="83"/>
      <c r="Q319" s="89">
        <v>128</v>
      </c>
      <c r="R319" s="89"/>
      <c r="S319" s="5"/>
      <c r="T319" s="5"/>
      <c r="U319" s="5"/>
    </row>
    <row r="320" spans="1:21" x14ac:dyDescent="0.25">
      <c r="A320" s="82" t="s">
        <v>4</v>
      </c>
      <c r="B320" s="10">
        <v>36</v>
      </c>
      <c r="C320" s="5"/>
      <c r="D320" s="1">
        <v>8235</v>
      </c>
      <c r="E320" s="5"/>
      <c r="F320" s="5"/>
      <c r="G320" s="26">
        <f>(5.01*(B320^0.59)*Z$71)/(86.4*I$18)</f>
        <v>6.4572254887595193</v>
      </c>
      <c r="H320" s="42">
        <f t="shared" ref="H320:H327" si="105">L$32^(J320-(0.6458446*LN(P$36))-(9.53942*N320*(P$36/P$35))+(4.8904*N320))</f>
        <v>19.963140221737699</v>
      </c>
      <c r="I320" s="42">
        <f t="shared" si="103"/>
        <v>8.3194390560069689</v>
      </c>
      <c r="J320" s="87">
        <v>4.7</v>
      </c>
      <c r="K320" s="56"/>
      <c r="L320" s="56"/>
      <c r="M320" s="83">
        <f t="shared" si="102"/>
        <v>-40.177299248052066</v>
      </c>
      <c r="N320" s="10">
        <f t="shared" si="104"/>
        <v>-0.325059055404952</v>
      </c>
      <c r="O320" s="59"/>
      <c r="P320" s="59"/>
      <c r="Q320" s="89">
        <v>123.6</v>
      </c>
      <c r="R320" s="89"/>
      <c r="S320" s="5"/>
      <c r="T320" s="5"/>
      <c r="U320" s="5"/>
    </row>
    <row r="321" spans="1:21" x14ac:dyDescent="0.25">
      <c r="A321" s="82" t="s">
        <v>5</v>
      </c>
      <c r="B321" s="10">
        <v>6.5</v>
      </c>
      <c r="C321" s="5"/>
      <c r="D321" s="1">
        <v>2507</v>
      </c>
      <c r="E321" s="5"/>
      <c r="F321" s="5"/>
      <c r="G321" s="26">
        <f>(5.01*(B321^0.59)*Z$71)/(86.4*I$19)</f>
        <v>2.4304505899811604</v>
      </c>
      <c r="H321" s="42">
        <f t="shared" si="105"/>
        <v>8.1411853173694677</v>
      </c>
      <c r="I321" s="42">
        <f t="shared" si="103"/>
        <v>3.392757569160552</v>
      </c>
      <c r="J321" s="87">
        <v>3.9</v>
      </c>
      <c r="K321" s="56"/>
      <c r="L321" s="56"/>
      <c r="M321" s="83">
        <f t="shared" si="102"/>
        <v>-69.677299248052066</v>
      </c>
      <c r="N321" s="10">
        <f t="shared" si="104"/>
        <v>-0.63632236756211935</v>
      </c>
      <c r="O321" s="59"/>
      <c r="P321" s="59"/>
      <c r="Q321" s="89">
        <v>109.5</v>
      </c>
      <c r="R321" s="89"/>
      <c r="S321" s="5"/>
      <c r="T321" s="5"/>
      <c r="U321" s="5"/>
    </row>
    <row r="322" spans="1:21" x14ac:dyDescent="0.25">
      <c r="A322" s="82" t="s">
        <v>6</v>
      </c>
      <c r="B322" s="10">
        <v>6.3</v>
      </c>
      <c r="C322" s="5"/>
      <c r="D322" s="1">
        <v>1472</v>
      </c>
      <c r="E322" s="5"/>
      <c r="F322" s="5"/>
      <c r="G322" s="26">
        <f>(5.01*(B322^0.59)*Z$71)/(86.4*I$20)</f>
        <v>2.3090769239442173</v>
      </c>
      <c r="H322" s="42">
        <f t="shared" si="105"/>
        <v>1.8018800426462045</v>
      </c>
      <c r="I322" s="42">
        <f t="shared" si="103"/>
        <v>0.75091548897237925</v>
      </c>
      <c r="J322" s="87">
        <v>2.4</v>
      </c>
      <c r="K322" s="56"/>
      <c r="L322" s="56"/>
      <c r="M322" s="83">
        <f t="shared" si="102"/>
        <v>-69.877299248052068</v>
      </c>
      <c r="N322" s="10">
        <f t="shared" si="104"/>
        <v>-0.66234406870191531</v>
      </c>
      <c r="O322" s="59"/>
      <c r="P322" s="59"/>
      <c r="Q322" s="89">
        <v>105.5</v>
      </c>
      <c r="R322" s="89"/>
      <c r="S322" s="5"/>
      <c r="T322" s="5"/>
      <c r="U322" s="5"/>
    </row>
    <row r="323" spans="1:21" x14ac:dyDescent="0.25">
      <c r="A323" s="82" t="s">
        <v>7</v>
      </c>
      <c r="B323" s="10">
        <v>0.3</v>
      </c>
      <c r="C323" s="5"/>
      <c r="D323" s="10">
        <v>0.76200000000000001</v>
      </c>
      <c r="E323" s="5"/>
      <c r="F323" s="5"/>
      <c r="G323" s="26">
        <f>(5.01*(B323^0.59)*Z$71)/(86.4*I$21)</f>
        <v>0.3831148774666619</v>
      </c>
      <c r="H323" s="42">
        <f t="shared" si="105"/>
        <v>0.48120532061408289</v>
      </c>
      <c r="I323" s="42">
        <f t="shared" si="103"/>
        <v>0.20053750531271289</v>
      </c>
      <c r="J323" s="87">
        <v>1.1000000000000001</v>
      </c>
      <c r="K323" s="56"/>
      <c r="L323" s="56"/>
      <c r="M323" s="83">
        <f t="shared" si="102"/>
        <v>-75.877299248052068</v>
      </c>
      <c r="N323" s="10">
        <f t="shared" si="104"/>
        <v>-0.72749088444920484</v>
      </c>
      <c r="O323" s="60"/>
      <c r="P323" s="59"/>
      <c r="Q323" s="89">
        <v>104.3</v>
      </c>
      <c r="R323" s="89"/>
      <c r="S323" s="5"/>
      <c r="T323" s="5"/>
      <c r="U323" s="5"/>
    </row>
    <row r="324" spans="1:21" x14ac:dyDescent="0.25">
      <c r="A324" s="82" t="s">
        <v>8</v>
      </c>
      <c r="B324" s="10">
        <v>3.3</v>
      </c>
      <c r="C324" s="5"/>
      <c r="D324" s="10">
        <v>0.83399999999999996</v>
      </c>
      <c r="E324" s="5"/>
      <c r="F324" s="5"/>
      <c r="G324" s="26">
        <f>(5.01*(B324^0.59)*Z$71)/(86.4*I$22)</f>
        <v>1.629262796073923</v>
      </c>
      <c r="H324" s="42">
        <f t="shared" si="105"/>
        <v>0.48262952395963005</v>
      </c>
      <c r="I324" s="42">
        <f t="shared" si="103"/>
        <v>0.20113102781493625</v>
      </c>
      <c r="J324" s="87">
        <v>1.1000000000000001</v>
      </c>
      <c r="K324" s="56"/>
      <c r="L324" s="56"/>
      <c r="M324" s="83">
        <f t="shared" si="102"/>
        <v>-72.877299248052068</v>
      </c>
      <c r="N324" s="10">
        <f t="shared" si="104"/>
        <v>-0.71800294825667066</v>
      </c>
      <c r="O324" s="59"/>
      <c r="P324" s="59"/>
      <c r="Q324" s="89">
        <v>101.5</v>
      </c>
      <c r="R324" s="89"/>
      <c r="S324" s="5"/>
      <c r="T324" s="5"/>
      <c r="U324" s="5"/>
    </row>
    <row r="325" spans="1:21" ht="18.75" x14ac:dyDescent="0.3">
      <c r="A325" s="82" t="s">
        <v>9</v>
      </c>
      <c r="B325" s="10">
        <v>5.9</v>
      </c>
      <c r="C325" s="5"/>
      <c r="D325" s="1">
        <v>1263</v>
      </c>
      <c r="E325" s="5"/>
      <c r="F325" s="5"/>
      <c r="G325" s="26">
        <f>(5.01*(B325^0.59)*Z$71)/(86.4*I$23)</f>
        <v>2.221417371928351</v>
      </c>
      <c r="H325" s="42">
        <f t="shared" si="105"/>
        <v>1.8101081416971472</v>
      </c>
      <c r="I325" s="42">
        <f>((L$32^(J325-(0.6458446*LN(P$36))-(9.53942*N325*(P$36/P$35))+(4.8904*N325)))/1000)*$Z$71</f>
        <v>0.7543444669708691</v>
      </c>
      <c r="J325" s="87">
        <v>2.4</v>
      </c>
      <c r="K325" s="56"/>
      <c r="L325" s="56"/>
      <c r="M325" s="83">
        <f t="shared" si="102"/>
        <v>-70.27729924805206</v>
      </c>
      <c r="N325" s="10">
        <f t="shared" si="104"/>
        <v>-0.64771704376084849</v>
      </c>
      <c r="O325" s="61"/>
      <c r="P325" s="62"/>
      <c r="Q325" s="89">
        <v>108.5</v>
      </c>
      <c r="R325" s="89"/>
      <c r="S325" s="5"/>
      <c r="T325" s="5"/>
      <c r="U325" s="5"/>
    </row>
    <row r="326" spans="1:21" x14ac:dyDescent="0.25">
      <c r="A326" s="82" t="s">
        <v>10</v>
      </c>
      <c r="B326" s="10">
        <v>2.2000000000000002</v>
      </c>
      <c r="C326" s="5"/>
      <c r="D326" s="10">
        <v>0.98399999999999999</v>
      </c>
      <c r="E326" s="5"/>
      <c r="F326" s="5"/>
      <c r="G326" s="26">
        <f>(5.01*(B326^0.59)*Z$71)/(86.4*I$24)</f>
        <v>1.2826179034881051</v>
      </c>
      <c r="H326" s="42">
        <f t="shared" si="105"/>
        <v>8.0800766772549508</v>
      </c>
      <c r="I326" s="42">
        <f t="shared" si="103"/>
        <v>3.3672911544792279</v>
      </c>
      <c r="J326" s="87">
        <v>3.9</v>
      </c>
      <c r="K326" s="56"/>
      <c r="L326" s="56"/>
      <c r="M326" s="83">
        <f t="shared" si="102"/>
        <v>-73.977299248052063</v>
      </c>
      <c r="N326" s="10">
        <f t="shared" si="104"/>
        <v>-0.66051160042903623</v>
      </c>
      <c r="O326" s="10"/>
      <c r="P326" s="83"/>
      <c r="Q326" s="89">
        <v>112</v>
      </c>
      <c r="R326" s="89"/>
      <c r="S326" s="5"/>
      <c r="T326" s="5"/>
      <c r="U326" s="5"/>
    </row>
    <row r="327" spans="1:21" x14ac:dyDescent="0.25">
      <c r="A327" s="82" t="s">
        <v>11</v>
      </c>
      <c r="B327" s="10">
        <v>53.3</v>
      </c>
      <c r="C327" s="5"/>
      <c r="D327" s="1">
        <v>5676</v>
      </c>
      <c r="E327" s="5"/>
      <c r="F327" s="5"/>
      <c r="G327" s="26">
        <f>(5.01*(B327^0.59)*Z$71)/(86.4*I$25)</f>
        <v>8.1394775616157364</v>
      </c>
      <c r="H327" s="42">
        <f t="shared" si="105"/>
        <v>9.361302231075884</v>
      </c>
      <c r="I327" s="42">
        <f t="shared" si="103"/>
        <v>3.9012290917785641</v>
      </c>
      <c r="J327" s="87">
        <v>3.9</v>
      </c>
      <c r="K327" s="56"/>
      <c r="L327" s="56"/>
      <c r="M327" s="83">
        <f t="shared" si="102"/>
        <v>-22.877299248052068</v>
      </c>
      <c r="N327" s="10">
        <f t="shared" si="104"/>
        <v>-0.18798109488949932</v>
      </c>
      <c r="O327" s="83"/>
      <c r="P327" s="83"/>
      <c r="Q327" s="89">
        <v>121.7</v>
      </c>
      <c r="R327" s="89"/>
      <c r="S327" s="5"/>
      <c r="T327" s="5"/>
      <c r="U327" s="5"/>
    </row>
    <row r="328" spans="1:21" x14ac:dyDescent="0.25">
      <c r="A328" s="82" t="s">
        <v>12</v>
      </c>
      <c r="B328" s="11">
        <v>2003</v>
      </c>
      <c r="C328" s="11">
        <v>2003</v>
      </c>
      <c r="D328" s="11">
        <v>2003</v>
      </c>
      <c r="E328" s="11">
        <v>2003</v>
      </c>
      <c r="F328" s="11">
        <v>2003</v>
      </c>
      <c r="G328" s="11">
        <v>2003</v>
      </c>
      <c r="H328" s="11">
        <v>2003</v>
      </c>
      <c r="I328" s="11">
        <v>2003</v>
      </c>
      <c r="J328" s="47" t="s">
        <v>70</v>
      </c>
      <c r="K328" s="27"/>
      <c r="L328" s="27"/>
      <c r="M328" s="39" t="s">
        <v>60</v>
      </c>
      <c r="N328" s="39" t="s">
        <v>73</v>
      </c>
      <c r="O328" s="105" t="s">
        <v>57</v>
      </c>
      <c r="P328" s="105"/>
      <c r="Q328" s="10"/>
      <c r="R328" s="10"/>
      <c r="S328" s="5"/>
      <c r="T328" s="5"/>
      <c r="U328" s="5"/>
    </row>
    <row r="329" spans="1:21" x14ac:dyDescent="0.25">
      <c r="A329" s="82" t="s">
        <v>0</v>
      </c>
      <c r="B329" s="10">
        <v>96.2</v>
      </c>
      <c r="C329" s="5"/>
      <c r="D329" s="1">
        <v>9632</v>
      </c>
      <c r="E329" s="5"/>
      <c r="F329" s="5"/>
      <c r="G329" s="26">
        <f>(5.01*(B329^0.59)*Z$71)/(86.4*I$14)</f>
        <v>11.531897390955347</v>
      </c>
      <c r="H329" s="42">
        <f>L$32^(J329-(0.6458446*LN(P$36))-(9.53942*N329*(P$36/P$35))+(4.8904*N329))</f>
        <v>24.471319285033321</v>
      </c>
      <c r="I329" s="42">
        <f>((L$32^(J329-(0.6458446*LN(P$36))-(9.53942*N329*(P$36/P$35))+(4.8904*N329)))/1000)*$Z$71</f>
        <v>10.198177598844786</v>
      </c>
      <c r="J329" s="87">
        <v>4.7</v>
      </c>
      <c r="K329" s="56"/>
      <c r="L329" s="56"/>
      <c r="M329" s="83">
        <f t="shared" ref="M329:M340" si="106">(B329-(0.74*P$330))</f>
        <v>41.573394670839384</v>
      </c>
      <c r="N329" s="10">
        <f>M329/Q329</f>
        <v>0.32864343613311764</v>
      </c>
      <c r="O329" s="50" t="s">
        <v>58</v>
      </c>
      <c r="P329" s="83">
        <f>(B329+B330+B331+B332+B333+B334+B335+B336+B337+B338+B339+B340)/12</f>
        <v>54.408333333333331</v>
      </c>
      <c r="Q329" s="89">
        <v>126.5</v>
      </c>
      <c r="R329" s="89"/>
      <c r="S329" s="5"/>
      <c r="T329" s="5"/>
      <c r="U329" s="5"/>
    </row>
    <row r="330" spans="1:21" x14ac:dyDescent="0.25">
      <c r="A330" s="82" t="s">
        <v>1</v>
      </c>
      <c r="B330" s="10">
        <v>260.60000000000002</v>
      </c>
      <c r="C330" s="5"/>
      <c r="D330" s="10">
        <v>18.809999999999999</v>
      </c>
      <c r="E330" s="5"/>
      <c r="F330" s="5"/>
      <c r="G330" s="26">
        <f>(5.01*(B330^0.59)*Z$71)/(86.4*J$15)</f>
        <v>22.193003190672098</v>
      </c>
      <c r="H330" s="42">
        <f>L$32^(J330-(0.6458446*LN(P$36))-(9.53942*N330*(P$36/P$35))+(4.8904*N330))</f>
        <v>38.666138281745063</v>
      </c>
      <c r="I330" s="42">
        <f t="shared" ref="I330:I340" si="107">((L$32^(J330-(0.6458446*LN(P$36))-(9.53942*N330*(P$36/P$35))+(4.8904*N330)))/1000)*$Z$71</f>
        <v>16.113726467534438</v>
      </c>
      <c r="J330" s="87">
        <v>4.7</v>
      </c>
      <c r="K330" s="56"/>
      <c r="L330" s="56"/>
      <c r="M330" s="83">
        <f t="shared" si="106"/>
        <v>205.97339467083941</v>
      </c>
      <c r="N330" s="10">
        <f t="shared" ref="N330:N340" si="108">M330/Q330</f>
        <v>1.7973245608275692</v>
      </c>
      <c r="O330" s="50" t="s">
        <v>66</v>
      </c>
      <c r="P330" s="83">
        <f>((((B329-P329)^2+(B330-P329)^2+(B331-P329)^2+(B332-P329)^2+(B333-P329)^2+(B334-P329)^2+(B335-P329)^2+(B336-P329)^2+(B337-P329)^2+(B338-P329)^2+(B339-P329)^2+(B340-P329)^2))/(12-1))^0.5</f>
        <v>73.819736931298138</v>
      </c>
      <c r="Q330" s="89">
        <v>114.6</v>
      </c>
      <c r="R330" s="89"/>
      <c r="S330" s="5"/>
      <c r="T330" s="5"/>
      <c r="U330" s="5"/>
    </row>
    <row r="331" spans="1:21" x14ac:dyDescent="0.25">
      <c r="A331" s="82" t="s">
        <v>2</v>
      </c>
      <c r="B331" s="10">
        <v>75.400000000000006</v>
      </c>
      <c r="C331" s="5"/>
      <c r="D331" s="1">
        <v>11823</v>
      </c>
      <c r="E331" s="5"/>
      <c r="F331" s="5"/>
      <c r="G331" s="26">
        <f>(5.01*(B331^0.59)*Z$71)/(86.4*I$16)</f>
        <v>9.9879548621760978</v>
      </c>
      <c r="H331" s="42">
        <f>L$32^(J331-(0.6458446*LN(P$36))-(9.53942*N331*(P$36/P$35))+(4.8904*N331))</f>
        <v>23.214024013695887</v>
      </c>
      <c r="I331" s="42">
        <f t="shared" si="107"/>
        <v>9.674212367467625</v>
      </c>
      <c r="J331" s="87">
        <v>4.7</v>
      </c>
      <c r="K331" s="56"/>
      <c r="L331" s="58"/>
      <c r="M331" s="83">
        <f t="shared" si="106"/>
        <v>20.773394670839387</v>
      </c>
      <c r="N331" s="10">
        <f t="shared" si="108"/>
        <v>0.15930517385613027</v>
      </c>
      <c r="O331" s="83"/>
      <c r="P331" s="83"/>
      <c r="Q331" s="89">
        <v>130.4</v>
      </c>
      <c r="R331" s="89"/>
      <c r="S331" s="5"/>
      <c r="T331" s="5"/>
      <c r="U331" s="5"/>
    </row>
    <row r="332" spans="1:21" x14ac:dyDescent="0.25">
      <c r="A332" s="82" t="s">
        <v>3</v>
      </c>
      <c r="B332" s="10">
        <v>83.4</v>
      </c>
      <c r="C332" s="5"/>
      <c r="D332" s="1">
        <v>9324</v>
      </c>
      <c r="E332" s="5"/>
      <c r="F332" s="5"/>
      <c r="G332" s="26">
        <f>(5.01*(B332^0.59)*Z$71)/(86.4*I$17)</f>
        <v>10.953574992281789</v>
      </c>
      <c r="H332" s="42">
        <f>L$32^(J332-(0.6458446*LN(P$36))-(9.53942*N332*(P$36/P$35))+(4.8904*N332))</f>
        <v>23.692400830391907</v>
      </c>
      <c r="I332" s="42">
        <f>((L$32^(J332-(0.6458446*LN(P$36))-(9.53942*N332*(P$36/P$35))+(4.8904*N332)))/1000)*$Z$71</f>
        <v>9.8735711220575233</v>
      </c>
      <c r="J332" s="87">
        <v>4.7</v>
      </c>
      <c r="K332" s="56"/>
      <c r="L332" s="56"/>
      <c r="M332" s="83">
        <f t="shared" si="106"/>
        <v>28.773394670839387</v>
      </c>
      <c r="N332" s="10">
        <f t="shared" si="108"/>
        <v>0.22479214586593271</v>
      </c>
      <c r="O332" s="83"/>
      <c r="P332" s="83"/>
      <c r="Q332" s="89">
        <v>128</v>
      </c>
      <c r="R332" s="89"/>
      <c r="S332" s="5"/>
      <c r="T332" s="5"/>
      <c r="U332" s="5"/>
    </row>
    <row r="333" spans="1:21" x14ac:dyDescent="0.25">
      <c r="A333" s="82" t="s">
        <v>4</v>
      </c>
      <c r="B333" s="10">
        <v>40.6</v>
      </c>
      <c r="C333" s="5"/>
      <c r="D333" s="1">
        <v>6527</v>
      </c>
      <c r="E333" s="5"/>
      <c r="F333" s="5"/>
      <c r="G333" s="26">
        <f>(5.01*(B333^0.59)*Z$71)/(86.4*I$18)</f>
        <v>6.9319885510409422</v>
      </c>
      <c r="H333" s="42">
        <f t="shared" ref="H333:H340" si="109">L$32^(J333-(0.6458446*LN(P$36))-(9.53942*N333*(P$36/P$35))+(4.8904*N333))</f>
        <v>21.323050848166481</v>
      </c>
      <c r="I333" s="42">
        <f t="shared" si="107"/>
        <v>8.8861682104649002</v>
      </c>
      <c r="J333" s="87">
        <v>4.7</v>
      </c>
      <c r="K333" s="56"/>
      <c r="L333" s="56"/>
      <c r="M333" s="83">
        <f t="shared" si="106"/>
        <v>-14.026605329160617</v>
      </c>
      <c r="N333" s="10">
        <f t="shared" si="108"/>
        <v>-0.11348386188641277</v>
      </c>
      <c r="O333" s="59"/>
      <c r="P333" s="59"/>
      <c r="Q333" s="89">
        <v>123.6</v>
      </c>
      <c r="R333" s="89"/>
      <c r="S333" s="5"/>
      <c r="T333" s="5"/>
      <c r="U333" s="5"/>
    </row>
    <row r="334" spans="1:21" x14ac:dyDescent="0.25">
      <c r="A334" s="82" t="s">
        <v>5</v>
      </c>
      <c r="B334" s="10">
        <v>11.7</v>
      </c>
      <c r="C334" s="5"/>
      <c r="D334" s="1">
        <v>3176</v>
      </c>
      <c r="E334" s="5"/>
      <c r="F334" s="5"/>
      <c r="G334" s="26">
        <f>(5.01*(B334^0.59)*Z$71)/(86.4*I$19)</f>
        <v>3.4379343123780592</v>
      </c>
      <c r="H334" s="42">
        <f t="shared" si="109"/>
        <v>8.7848576252770023</v>
      </c>
      <c r="I334" s="42">
        <f t="shared" si="107"/>
        <v>3.6610015667579381</v>
      </c>
      <c r="J334" s="87">
        <v>3.9</v>
      </c>
      <c r="K334" s="56"/>
      <c r="L334" s="56"/>
      <c r="M334" s="83">
        <f t="shared" si="106"/>
        <v>-42.926605329160623</v>
      </c>
      <c r="N334" s="10">
        <f t="shared" si="108"/>
        <v>-0.39202379296037099</v>
      </c>
      <c r="O334" s="59"/>
      <c r="P334" s="59"/>
      <c r="Q334" s="89">
        <v>109.5</v>
      </c>
      <c r="R334" s="89"/>
      <c r="S334" s="5"/>
      <c r="T334" s="5"/>
      <c r="U334" s="5"/>
    </row>
    <row r="335" spans="1:21" x14ac:dyDescent="0.25">
      <c r="A335" s="82" t="s">
        <v>6</v>
      </c>
      <c r="B335" s="10">
        <v>13.9</v>
      </c>
      <c r="C335" s="5"/>
      <c r="D335" s="1">
        <v>2539</v>
      </c>
      <c r="E335" s="5"/>
      <c r="F335" s="5"/>
      <c r="G335" s="26">
        <f>(5.01*(B335^0.59)*Z$71)/(86.4*I$20)</f>
        <v>3.6830380793281581</v>
      </c>
      <c r="H335" s="42">
        <f t="shared" si="109"/>
        <v>1.963827061736594</v>
      </c>
      <c r="I335" s="42">
        <f t="shared" si="107"/>
        <v>0.81840528970810822</v>
      </c>
      <c r="J335" s="87">
        <v>2.4</v>
      </c>
      <c r="K335" s="56"/>
      <c r="L335" s="56"/>
      <c r="M335" s="83">
        <f t="shared" si="106"/>
        <v>-40.72660532916062</v>
      </c>
      <c r="N335" s="10">
        <f t="shared" si="108"/>
        <v>-0.38603417373611965</v>
      </c>
      <c r="O335" s="59"/>
      <c r="P335" s="59"/>
      <c r="Q335" s="89">
        <v>105.5</v>
      </c>
      <c r="R335" s="89"/>
      <c r="S335" s="5"/>
      <c r="T335" s="5"/>
      <c r="U335" s="5"/>
    </row>
    <row r="336" spans="1:21" x14ac:dyDescent="0.25">
      <c r="A336" s="82" t="s">
        <v>7</v>
      </c>
      <c r="B336" s="10">
        <v>0.4</v>
      </c>
      <c r="C336" s="5"/>
      <c r="D336" s="1">
        <v>1167</v>
      </c>
      <c r="E336" s="5"/>
      <c r="F336" s="5"/>
      <c r="G336" s="26">
        <f>(5.01*(B336^0.59)*Z$71)/(86.4*I$21)</f>
        <v>0.45398643017853541</v>
      </c>
      <c r="H336" s="42">
        <f t="shared" si="109"/>
        <v>0.51334648455605081</v>
      </c>
      <c r="I336" s="42">
        <f t="shared" si="107"/>
        <v>0.21393201397388861</v>
      </c>
      <c r="J336" s="87">
        <v>1.1000000000000001</v>
      </c>
      <c r="K336" s="56"/>
      <c r="L336" s="56"/>
      <c r="M336" s="83">
        <f t="shared" si="106"/>
        <v>-54.22660532916062</v>
      </c>
      <c r="N336" s="10">
        <f t="shared" si="108"/>
        <v>-0.51990992645408074</v>
      </c>
      <c r="O336" s="60"/>
      <c r="P336" s="59"/>
      <c r="Q336" s="89">
        <v>104.3</v>
      </c>
      <c r="R336" s="89"/>
      <c r="S336" s="5"/>
      <c r="T336" s="5"/>
      <c r="U336" s="5"/>
    </row>
    <row r="337" spans="1:22" x14ac:dyDescent="0.25">
      <c r="A337" s="82" t="s">
        <v>8</v>
      </c>
      <c r="B337" s="10">
        <v>0</v>
      </c>
      <c r="C337" s="5"/>
      <c r="D337" s="10">
        <v>0.22900000000000001</v>
      </c>
      <c r="E337" s="5"/>
      <c r="F337" s="5"/>
      <c r="G337" s="26">
        <f>(5.01*(B337^0.59)*Z$71)/(86.4*I$22)</f>
        <v>0</v>
      </c>
      <c r="H337" s="42">
        <f t="shared" si="109"/>
        <v>0.51043137146230788</v>
      </c>
      <c r="I337" s="42">
        <f t="shared" si="107"/>
        <v>0.21271716974320218</v>
      </c>
      <c r="J337" s="87">
        <v>1.1000000000000001</v>
      </c>
      <c r="K337" s="56"/>
      <c r="L337" s="56"/>
      <c r="M337" s="83">
        <f t="shared" si="106"/>
        <v>-54.626605329160618</v>
      </c>
      <c r="N337" s="10">
        <f t="shared" si="108"/>
        <v>-0.53819315595232131</v>
      </c>
      <c r="O337" s="59"/>
      <c r="P337" s="59"/>
      <c r="Q337" s="89">
        <v>101.5</v>
      </c>
      <c r="R337" s="89"/>
      <c r="S337" s="5"/>
      <c r="T337" s="5"/>
      <c r="U337" s="5"/>
    </row>
    <row r="338" spans="1:22" ht="18.75" x14ac:dyDescent="0.3">
      <c r="A338" s="82" t="s">
        <v>9</v>
      </c>
      <c r="B338" s="10">
        <v>1.3</v>
      </c>
      <c r="C338" s="5"/>
      <c r="D338" s="10">
        <v>0.47399999999999998</v>
      </c>
      <c r="E338" s="5"/>
      <c r="F338" s="5"/>
      <c r="G338" s="26">
        <f>(5.01*(B338^0.59)*Z$71)/(86.4*I$23)</f>
        <v>0.9100265327569651</v>
      </c>
      <c r="H338" s="42">
        <f t="shared" si="109"/>
        <v>1.9003690634214283</v>
      </c>
      <c r="I338" s="42">
        <f>((L$32^(J338-(0.6458446*LN(P$36))-(9.53942*N338*(P$36/P$35))+(4.8904*N338)))/1000)*$Z$71</f>
        <v>0.79195980349024608</v>
      </c>
      <c r="J338" s="87">
        <v>2.4</v>
      </c>
      <c r="K338" s="56"/>
      <c r="L338" s="56"/>
      <c r="M338" s="83">
        <f t="shared" si="106"/>
        <v>-53.326605329160621</v>
      </c>
      <c r="N338" s="10">
        <f t="shared" si="108"/>
        <v>-0.49148945003834676</v>
      </c>
      <c r="O338" s="61"/>
      <c r="P338" s="62"/>
      <c r="Q338" s="89">
        <v>108.5</v>
      </c>
      <c r="R338" s="89"/>
      <c r="S338" s="5"/>
      <c r="T338" s="5"/>
      <c r="U338" s="5"/>
    </row>
    <row r="339" spans="1:22" x14ac:dyDescent="0.25">
      <c r="A339" s="82" t="s">
        <v>10</v>
      </c>
      <c r="B339" s="10">
        <v>9.5</v>
      </c>
      <c r="C339" s="5"/>
      <c r="D339" s="1">
        <v>1633</v>
      </c>
      <c r="E339" s="5"/>
      <c r="F339" s="5"/>
      <c r="G339" s="26">
        <f>(5.01*(B339^0.59)*Z$71)/(86.4*I$24)</f>
        <v>3.0403588309360536</v>
      </c>
      <c r="H339" s="42">
        <f t="shared" si="109"/>
        <v>8.7551035276900091</v>
      </c>
      <c r="I339" s="42">
        <f t="shared" si="107"/>
        <v>3.6486018441295349</v>
      </c>
      <c r="J339" s="87">
        <v>3.9</v>
      </c>
      <c r="K339" s="56"/>
      <c r="L339" s="56"/>
      <c r="M339" s="83">
        <f t="shared" si="106"/>
        <v>-45.126605329160618</v>
      </c>
      <c r="N339" s="10">
        <f t="shared" si="108"/>
        <v>-0.40291611901036267</v>
      </c>
      <c r="O339" s="10"/>
      <c r="P339" s="83"/>
      <c r="Q339" s="89">
        <v>112</v>
      </c>
      <c r="R339" s="89"/>
      <c r="S339" s="5"/>
      <c r="T339" s="5"/>
      <c r="U339" s="5"/>
    </row>
    <row r="340" spans="1:22" x14ac:dyDescent="0.25">
      <c r="A340" s="82" t="s">
        <v>11</v>
      </c>
      <c r="B340" s="10">
        <v>59.9</v>
      </c>
      <c r="C340" s="5"/>
      <c r="D340" s="1">
        <v>6227</v>
      </c>
      <c r="E340" s="5"/>
      <c r="F340" s="5"/>
      <c r="G340" s="26">
        <f>(5.01*(B340^0.59)*Z$71)/(86.4*I$25)</f>
        <v>8.7198557814998789</v>
      </c>
      <c r="H340" s="42">
        <f t="shared" si="109"/>
        <v>10.06066393409529</v>
      </c>
      <c r="I340" s="42">
        <f t="shared" si="107"/>
        <v>4.1926810878948713</v>
      </c>
      <c r="J340" s="87">
        <v>3.9</v>
      </c>
      <c r="K340" s="56"/>
      <c r="L340" s="56"/>
      <c r="M340" s="83">
        <f t="shared" si="106"/>
        <v>5.2733946708393802</v>
      </c>
      <c r="N340" s="10">
        <f t="shared" si="108"/>
        <v>4.3331098363511754E-2</v>
      </c>
      <c r="O340" s="83"/>
      <c r="P340" s="83"/>
      <c r="Q340" s="89">
        <v>121.7</v>
      </c>
      <c r="R340" s="89"/>
      <c r="S340" s="5"/>
      <c r="T340" s="5"/>
      <c r="U340" s="5"/>
    </row>
    <row r="341" spans="1:22" x14ac:dyDescent="0.25">
      <c r="A341" s="82" t="s">
        <v>12</v>
      </c>
      <c r="B341" s="11">
        <v>2004</v>
      </c>
      <c r="C341" s="11">
        <v>2004</v>
      </c>
      <c r="D341" s="11">
        <v>2004</v>
      </c>
      <c r="E341" s="11">
        <v>2004</v>
      </c>
      <c r="F341" s="11">
        <v>2004</v>
      </c>
      <c r="G341" s="11">
        <v>2004</v>
      </c>
      <c r="H341" s="11">
        <v>2004</v>
      </c>
      <c r="I341" s="11">
        <v>2004</v>
      </c>
      <c r="J341" s="47" t="s">
        <v>70</v>
      </c>
      <c r="K341" s="27"/>
      <c r="L341" s="27"/>
      <c r="M341" s="39" t="s">
        <v>60</v>
      </c>
      <c r="N341" s="39" t="s">
        <v>73</v>
      </c>
      <c r="O341" s="105" t="s">
        <v>57</v>
      </c>
      <c r="P341" s="105"/>
      <c r="Q341" s="10"/>
      <c r="R341" s="10"/>
      <c r="S341" s="5"/>
      <c r="T341" s="5"/>
      <c r="U341" s="5"/>
    </row>
    <row r="342" spans="1:22" x14ac:dyDescent="0.25">
      <c r="A342" s="82" t="s">
        <v>0</v>
      </c>
      <c r="B342" s="10">
        <v>48</v>
      </c>
      <c r="C342" s="5"/>
      <c r="D342" s="1">
        <v>6601</v>
      </c>
      <c r="E342" s="5"/>
      <c r="F342" s="5"/>
      <c r="G342" s="26">
        <f>(5.01*(B342^0.59)*Z$71)/(86.4*I$14)</f>
        <v>7.6517329942502066</v>
      </c>
      <c r="H342" s="42">
        <f>L$32^(J342-(0.6458446*LN(P$36))-(9.53942*N342*(P$36/P$35))+(4.8904*N342))</f>
        <v>21.4293738678683</v>
      </c>
      <c r="I342" s="42">
        <f>((L$32^(J342-(0.6458446*LN(P$36))-(9.53942*N342*(P$36/P$35))+(4.8904*N342)))/1000)*$Z$71</f>
        <v>8.9304772656954352</v>
      </c>
      <c r="J342" s="87">
        <v>4.7</v>
      </c>
      <c r="K342" s="56"/>
      <c r="L342" s="56"/>
      <c r="M342" s="83">
        <f t="shared" ref="M342:M353" si="110">(B342-(0.74*P$343))</f>
        <v>-12.335668231732527</v>
      </c>
      <c r="N342" s="10">
        <f>M342/Q342</f>
        <v>-9.7515163887213652E-2</v>
      </c>
      <c r="O342" s="50" t="s">
        <v>58</v>
      </c>
      <c r="P342" s="83">
        <f>(B342+B343+B344+B345+B346+B347+B348+B349+B350+B351+B352+B353)/12</f>
        <v>56.183333333333337</v>
      </c>
      <c r="Q342" s="89">
        <v>126.5</v>
      </c>
      <c r="R342" s="89"/>
      <c r="S342" s="5"/>
      <c r="T342" s="5"/>
      <c r="U342" s="5"/>
    </row>
    <row r="343" spans="1:22" x14ac:dyDescent="0.25">
      <c r="A343" s="82" t="s">
        <v>1</v>
      </c>
      <c r="B343" s="10">
        <v>218.3</v>
      </c>
      <c r="C343" s="5"/>
      <c r="D343" s="1">
        <v>16019</v>
      </c>
      <c r="E343" s="5"/>
      <c r="F343" s="5"/>
      <c r="G343" s="26">
        <f>(5.01*(B343^0.59)*Z$71)/(86.4*J$15)</f>
        <v>19.990924407509276</v>
      </c>
      <c r="H343" s="42">
        <f>L$32^(J343-(0.6458446*LN(P$36))-(9.53942*N343*(P$36/P$35))+(4.8904*N343))</f>
        <v>33.936035622841068</v>
      </c>
      <c r="I343" s="42">
        <f t="shared" ref="I343:I353" si="111">((L$32^(J343-(0.6458446*LN(P$36))-(9.53942*N343*(P$36/P$35))+(4.8904*N343)))/1000)*$Z$71</f>
        <v>14.142503485462786</v>
      </c>
      <c r="J343" s="87">
        <v>4.7</v>
      </c>
      <c r="K343" s="56"/>
      <c r="L343" s="56"/>
      <c r="M343" s="83">
        <f t="shared" si="110"/>
        <v>157.96433176826747</v>
      </c>
      <c r="N343" s="10">
        <f t="shared" ref="N343:N353" si="112">M343/Q343</f>
        <v>1.3783973103688261</v>
      </c>
      <c r="O343" s="50" t="s">
        <v>66</v>
      </c>
      <c r="P343" s="83">
        <f>((((B342-P342)^2+(B343-P342)^2+(B344-P342)^2+(B345-P342)^2+(B346-P342)^2+(B347-P342)^2+(B348-P342)^2+(B349-P342)^2+(B350-P342)^2+(B351-P342)^2+(B352-P342)^2+(B353-P342)^2))/(12-1))^0.5</f>
        <v>81.53468679963855</v>
      </c>
      <c r="Q343" s="89">
        <v>114.6</v>
      </c>
      <c r="R343" s="89"/>
      <c r="S343" s="5"/>
      <c r="T343" s="5"/>
      <c r="U343" s="5"/>
    </row>
    <row r="344" spans="1:22" x14ac:dyDescent="0.25">
      <c r="A344" s="82" t="s">
        <v>2</v>
      </c>
      <c r="B344" s="10">
        <v>217.5</v>
      </c>
      <c r="C344" s="5"/>
      <c r="D344" s="1">
        <v>18267</v>
      </c>
      <c r="E344" s="5"/>
      <c r="F344" s="5"/>
      <c r="G344" s="26">
        <f>(5.01*(B344^0.59)*Z$71)/(86.4*I$16)</f>
        <v>18.660721919662254</v>
      </c>
      <c r="H344" s="42">
        <f>L$32^(J344-(0.6458446*LN(P$36))-(9.53942*N344*(P$36/P$35))+(4.8904*N344))</f>
        <v>32.154266875482506</v>
      </c>
      <c r="I344" s="42">
        <f t="shared" si="111"/>
        <v>13.399969177688581</v>
      </c>
      <c r="J344" s="87">
        <v>4.7</v>
      </c>
      <c r="K344" s="56"/>
      <c r="L344" s="58"/>
      <c r="M344" s="83">
        <f t="shared" si="110"/>
        <v>157.16433176826746</v>
      </c>
      <c r="N344" s="10">
        <f t="shared" si="112"/>
        <v>1.2052479430081859</v>
      </c>
      <c r="O344" s="83"/>
      <c r="P344" s="83"/>
      <c r="Q344" s="89">
        <v>130.4</v>
      </c>
      <c r="R344" s="89"/>
      <c r="S344" s="10"/>
      <c r="T344" s="5"/>
      <c r="U344" s="5"/>
      <c r="V344" s="5"/>
    </row>
    <row r="345" spans="1:22" x14ac:dyDescent="0.25">
      <c r="A345" s="82" t="s">
        <v>3</v>
      </c>
      <c r="B345" s="10">
        <v>42</v>
      </c>
      <c r="C345" s="5"/>
      <c r="D345" s="1">
        <v>9055</v>
      </c>
      <c r="E345" s="5"/>
      <c r="F345" s="5"/>
      <c r="G345" s="26">
        <f>(5.01*(B345^0.59)*Z$71)/(86.4*I$17)</f>
        <v>7.3077721403906999</v>
      </c>
      <c r="H345" s="42">
        <f>L$32^(J345-(0.6458446*LN(P$36))-(9.53942*N345*(P$36/P$35))+(4.8904*N345))</f>
        <v>21.126284692990566</v>
      </c>
      <c r="I345" s="42">
        <f>((L$32^(J345-(0.6458446*LN(P$36))-(9.53942*N345*(P$36/P$35))+(4.8904*N345)))/1000)*$Z$71</f>
        <v>8.8041678829568895</v>
      </c>
      <c r="J345" s="87">
        <v>4.7</v>
      </c>
      <c r="K345" s="56"/>
      <c r="L345" s="56"/>
      <c r="M345" s="83">
        <f t="shared" si="110"/>
        <v>-18.335668231732527</v>
      </c>
      <c r="N345" s="10">
        <f t="shared" si="112"/>
        <v>-0.14324740806041036</v>
      </c>
      <c r="O345" s="83"/>
      <c r="P345" s="83"/>
      <c r="Q345" s="89">
        <v>128</v>
      </c>
      <c r="R345" s="89"/>
      <c r="S345" s="5"/>
      <c r="T345" s="5"/>
      <c r="U345" s="5"/>
    </row>
    <row r="346" spans="1:22" x14ac:dyDescent="0.25">
      <c r="A346" s="82" t="s">
        <v>4</v>
      </c>
      <c r="B346" s="10">
        <v>107.5</v>
      </c>
      <c r="C346" s="5"/>
      <c r="D346" s="1">
        <v>10238</v>
      </c>
      <c r="E346" s="5"/>
      <c r="F346" s="5"/>
      <c r="G346" s="26">
        <f>(5.01*(B346^0.59)*Z$71)/(86.4*I$18)</f>
        <v>12.312846657289469</v>
      </c>
      <c r="H346" s="42">
        <f t="shared" ref="H346:H353" si="113">L$32^(J346-(0.6458446*LN(P$36))-(9.53942*N346*(P$36/P$35))+(4.8904*N346))</f>
        <v>24.878227340298555</v>
      </c>
      <c r="I346" s="42">
        <f t="shared" si="111"/>
        <v>10.367752461796021</v>
      </c>
      <c r="J346" s="87">
        <v>4.7</v>
      </c>
      <c r="K346" s="56"/>
      <c r="L346" s="56"/>
      <c r="M346" s="83">
        <f t="shared" si="110"/>
        <v>47.164331768267473</v>
      </c>
      <c r="N346" s="10">
        <f t="shared" si="112"/>
        <v>0.38158844472708314</v>
      </c>
      <c r="O346" s="59"/>
      <c r="P346" s="59"/>
      <c r="Q346" s="89">
        <v>123.6</v>
      </c>
      <c r="R346" s="89"/>
      <c r="S346" s="5"/>
      <c r="T346" s="5"/>
      <c r="U346" s="5"/>
    </row>
    <row r="347" spans="1:22" x14ac:dyDescent="0.25">
      <c r="A347" s="82" t="s">
        <v>5</v>
      </c>
      <c r="B347" s="10">
        <v>14.6</v>
      </c>
      <c r="C347" s="5"/>
      <c r="D347" s="1">
        <v>4837</v>
      </c>
      <c r="E347" s="5"/>
      <c r="F347" s="5"/>
      <c r="G347" s="26">
        <f>(5.01*(B347^0.59)*Z$71)/(86.4*I$19)</f>
        <v>3.9177444222519946</v>
      </c>
      <c r="H347" s="42">
        <f t="shared" si="113"/>
        <v>8.7149417107561291</v>
      </c>
      <c r="I347" s="42">
        <f t="shared" si="111"/>
        <v>3.6318648085405094</v>
      </c>
      <c r="J347" s="87">
        <v>3.9</v>
      </c>
      <c r="K347" s="56"/>
      <c r="L347" s="56"/>
      <c r="M347" s="83">
        <f t="shared" si="110"/>
        <v>-45.735668231732525</v>
      </c>
      <c r="N347" s="10">
        <f t="shared" si="112"/>
        <v>-0.41767733544961211</v>
      </c>
      <c r="O347" s="59"/>
      <c r="P347" s="59"/>
      <c r="Q347" s="89">
        <v>109.5</v>
      </c>
      <c r="R347" s="89"/>
      <c r="S347" s="5"/>
      <c r="T347" s="5"/>
      <c r="U347" s="5"/>
    </row>
    <row r="348" spans="1:22" x14ac:dyDescent="0.25">
      <c r="A348" s="82" t="s">
        <v>6</v>
      </c>
      <c r="B348" s="10">
        <v>3.5</v>
      </c>
      <c r="C348" s="5"/>
      <c r="D348" s="1">
        <v>1607</v>
      </c>
      <c r="E348" s="5"/>
      <c r="F348" s="5"/>
      <c r="G348" s="26">
        <f>(5.01*(B348^0.59)*Z$71)/(86.4*I$20)</f>
        <v>1.6324038978598614</v>
      </c>
      <c r="H348" s="42">
        <f t="shared" si="113"/>
        <v>1.8726128920994629</v>
      </c>
      <c r="I348" s="42">
        <f t="shared" si="111"/>
        <v>0.78039269665353017</v>
      </c>
      <c r="J348" s="87">
        <v>2.4</v>
      </c>
      <c r="K348" s="56"/>
      <c r="L348" s="56"/>
      <c r="M348" s="83">
        <f t="shared" si="110"/>
        <v>-56.835668231732527</v>
      </c>
      <c r="N348" s="10">
        <f t="shared" si="112"/>
        <v>-0.53872671309699083</v>
      </c>
      <c r="O348" s="59"/>
      <c r="P348" s="59"/>
      <c r="Q348" s="89">
        <v>105.5</v>
      </c>
      <c r="R348" s="89"/>
      <c r="S348" s="5"/>
      <c r="T348" s="5"/>
      <c r="U348" s="5"/>
    </row>
    <row r="349" spans="1:22" x14ac:dyDescent="0.25">
      <c r="A349" s="82" t="s">
        <v>7</v>
      </c>
      <c r="B349" s="10">
        <v>0.1</v>
      </c>
      <c r="C349" s="5"/>
      <c r="D349" s="10">
        <v>0.56200000000000006</v>
      </c>
      <c r="E349" s="5"/>
      <c r="F349" s="5"/>
      <c r="G349" s="26">
        <f>(5.01*(B349^0.59)*Z$71)/(86.4*I$21)</f>
        <v>0.20036759109694574</v>
      </c>
      <c r="H349" s="42">
        <f t="shared" si="113"/>
        <v>0.50421650032779608</v>
      </c>
      <c r="I349" s="42">
        <f t="shared" si="111"/>
        <v>0.21012718434660574</v>
      </c>
      <c r="J349" s="87">
        <v>1.1000000000000001</v>
      </c>
      <c r="K349" s="56"/>
      <c r="L349" s="56"/>
      <c r="M349" s="83">
        <f t="shared" si="110"/>
        <v>-60.235668231732525</v>
      </c>
      <c r="N349" s="10">
        <f t="shared" si="112"/>
        <v>-0.57752318534738756</v>
      </c>
      <c r="O349" s="60"/>
      <c r="P349" s="59"/>
      <c r="Q349" s="89">
        <v>104.3</v>
      </c>
      <c r="R349" s="89"/>
      <c r="S349" s="5"/>
      <c r="T349" s="5"/>
      <c r="U349" s="5"/>
    </row>
    <row r="350" spans="1:22" x14ac:dyDescent="0.25">
      <c r="A350" s="82" t="s">
        <v>8</v>
      </c>
      <c r="B350" s="10">
        <v>3.7</v>
      </c>
      <c r="C350" s="5"/>
      <c r="D350" s="10">
        <v>0.871</v>
      </c>
      <c r="E350" s="5"/>
      <c r="F350" s="5"/>
      <c r="G350" s="26">
        <f>(5.01*(B350^0.59)*Z$71)/(86.4*I$22)</f>
        <v>1.7430383129944893</v>
      </c>
      <c r="H350" s="42">
        <f t="shared" si="113"/>
        <v>0.50729408126767106</v>
      </c>
      <c r="I350" s="42">
        <f t="shared" si="111"/>
        <v>0.21140973542748923</v>
      </c>
      <c r="J350" s="87">
        <v>1.1000000000000001</v>
      </c>
      <c r="K350" s="56"/>
      <c r="L350" s="56"/>
      <c r="M350" s="83">
        <f t="shared" si="110"/>
        <v>-56.635668231732524</v>
      </c>
      <c r="N350" s="10">
        <f t="shared" si="112"/>
        <v>-0.55798687913036971</v>
      </c>
      <c r="O350" s="59"/>
      <c r="P350" s="59"/>
      <c r="Q350" s="89">
        <v>101.5</v>
      </c>
      <c r="R350" s="89"/>
      <c r="S350" s="5"/>
      <c r="T350" s="5"/>
      <c r="U350" s="5"/>
    </row>
    <row r="351" spans="1:22" ht="18.75" x14ac:dyDescent="0.3">
      <c r="A351" s="82" t="s">
        <v>9</v>
      </c>
      <c r="B351" s="10">
        <v>5.8</v>
      </c>
      <c r="C351" s="5"/>
      <c r="D351" s="10">
        <v>1.27</v>
      </c>
      <c r="E351" s="5"/>
      <c r="F351" s="5"/>
      <c r="G351" s="26">
        <f>(5.01*(B351^0.59)*Z$71)/(86.4*I$23)</f>
        <v>2.1991253921534999</v>
      </c>
      <c r="H351" s="42">
        <f t="shared" si="113"/>
        <v>1.8937844306706419</v>
      </c>
      <c r="I351" s="42">
        <f>((L$32^(J351-(0.6458446*LN(P$36))-(9.53942*N351*(P$36/P$35))+(4.8904*N351)))/1000)*$Z$71</f>
        <v>0.78921572363768333</v>
      </c>
      <c r="J351" s="87">
        <v>2.4</v>
      </c>
      <c r="K351" s="56"/>
      <c r="L351" s="56"/>
      <c r="M351" s="83">
        <f t="shared" si="110"/>
        <v>-54.535668231732529</v>
      </c>
      <c r="N351" s="10">
        <f t="shared" si="112"/>
        <v>-0.50263288692841046</v>
      </c>
      <c r="O351" s="61"/>
      <c r="P351" s="62"/>
      <c r="Q351" s="89">
        <v>108.5</v>
      </c>
      <c r="R351" s="89"/>
      <c r="S351" s="5"/>
      <c r="T351" s="5"/>
      <c r="U351" s="5"/>
    </row>
    <row r="352" spans="1:22" x14ac:dyDescent="0.25">
      <c r="A352" s="82" t="s">
        <v>10</v>
      </c>
      <c r="B352" s="10">
        <v>1.1000000000000001</v>
      </c>
      <c r="C352" s="5"/>
      <c r="D352" s="10">
        <v>0.84</v>
      </c>
      <c r="E352" s="5"/>
      <c r="F352" s="5"/>
      <c r="G352" s="26">
        <f>(5.01*(B352^0.59)*Z$71)/(86.4*I$24)</f>
        <v>0.85209810663542696</v>
      </c>
      <c r="H352" s="42">
        <f t="shared" si="113"/>
        <v>8.41822232344526</v>
      </c>
      <c r="I352" s="42">
        <f t="shared" si="111"/>
        <v>3.5082099710725774</v>
      </c>
      <c r="J352" s="87">
        <v>3.9</v>
      </c>
      <c r="K352" s="56"/>
      <c r="L352" s="56"/>
      <c r="M352" s="83">
        <f t="shared" si="110"/>
        <v>-59.235668231732525</v>
      </c>
      <c r="N352" s="10">
        <f t="shared" si="112"/>
        <v>-0.52888989492618321</v>
      </c>
      <c r="O352" s="10"/>
      <c r="P352" s="83"/>
      <c r="Q352" s="89">
        <v>112</v>
      </c>
      <c r="R352" s="89"/>
      <c r="S352" s="5"/>
      <c r="T352" s="5"/>
      <c r="U352" s="5"/>
    </row>
    <row r="353" spans="1:21" x14ac:dyDescent="0.25">
      <c r="A353" s="82" t="s">
        <v>11</v>
      </c>
      <c r="B353" s="10">
        <v>12.1</v>
      </c>
      <c r="C353" s="5"/>
      <c r="D353" s="1">
        <v>1906</v>
      </c>
      <c r="E353" s="5"/>
      <c r="F353" s="5"/>
      <c r="G353" s="26">
        <f>(5.01*(B353^0.59)*Z$71)/(86.4*I$25)</f>
        <v>3.3936796594200929</v>
      </c>
      <c r="H353" s="42">
        <f t="shared" si="113"/>
        <v>8.7730306721651736</v>
      </c>
      <c r="I353" s="42">
        <f t="shared" si="111"/>
        <v>3.6560728023181146</v>
      </c>
      <c r="J353" s="87">
        <v>3.9</v>
      </c>
      <c r="K353" s="56"/>
      <c r="L353" s="56"/>
      <c r="M353" s="83">
        <f t="shared" si="110"/>
        <v>-48.235668231732525</v>
      </c>
      <c r="N353" s="10">
        <f t="shared" si="112"/>
        <v>-0.3963489583544168</v>
      </c>
      <c r="O353" s="83"/>
      <c r="P353" s="83"/>
      <c r="Q353" s="89">
        <v>121.7</v>
      </c>
      <c r="R353" s="89"/>
      <c r="S353" s="5"/>
      <c r="T353" s="5"/>
      <c r="U353" s="5"/>
    </row>
    <row r="354" spans="1:21" x14ac:dyDescent="0.25">
      <c r="A354" s="82" t="s">
        <v>12</v>
      </c>
      <c r="B354" s="11">
        <v>2005</v>
      </c>
      <c r="C354" s="11">
        <v>2005</v>
      </c>
      <c r="D354" s="11">
        <v>2005</v>
      </c>
      <c r="E354" s="11">
        <v>2005</v>
      </c>
      <c r="F354" s="11">
        <v>2005</v>
      </c>
      <c r="G354" s="11">
        <v>2005</v>
      </c>
      <c r="H354" s="11">
        <v>2005</v>
      </c>
      <c r="I354" s="11">
        <v>2005</v>
      </c>
      <c r="J354" s="47" t="s">
        <v>70</v>
      </c>
      <c r="K354" s="27"/>
      <c r="L354" s="27"/>
      <c r="M354" s="39" t="s">
        <v>60</v>
      </c>
      <c r="N354" s="39" t="s">
        <v>73</v>
      </c>
      <c r="O354" s="105" t="s">
        <v>57</v>
      </c>
      <c r="P354" s="105"/>
      <c r="Q354" s="10"/>
      <c r="R354" s="10"/>
      <c r="S354" s="5"/>
      <c r="T354" s="5"/>
      <c r="U354" s="5"/>
    </row>
    <row r="355" spans="1:21" x14ac:dyDescent="0.25">
      <c r="A355" s="82" t="s">
        <v>0</v>
      </c>
      <c r="B355" s="10">
        <v>46</v>
      </c>
      <c r="C355" s="5"/>
      <c r="D355" s="1">
        <v>5286</v>
      </c>
      <c r="E355" s="5"/>
      <c r="F355" s="5"/>
      <c r="G355" s="26">
        <f>(5.01*(B355^0.59)*Z$71)/(86.4*I$14)</f>
        <v>7.4619888821750324</v>
      </c>
      <c r="H355" s="42">
        <f>L$32^(J355-(0.6458446*LN(P$36))-(9.53942*N355*(P$36/P$35))+(4.8904*N355))</f>
        <v>20.290228856813339</v>
      </c>
      <c r="I355" s="42">
        <f>((L$32^(J355-(0.6458446*LN(P$36))-(9.53942*N355*(P$36/P$35))+(4.8904*N355)))/1000)*$Z$71</f>
        <v>8.4557499737883912</v>
      </c>
      <c r="J355" s="87">
        <v>4.7</v>
      </c>
      <c r="K355" s="56"/>
      <c r="L355" s="56"/>
      <c r="M355" s="83">
        <f t="shared" ref="M355:M366" si="114">(B355-(0.74*P$356))</f>
        <v>-34.519644850674723</v>
      </c>
      <c r="N355" s="10">
        <f>M355/Q355</f>
        <v>-0.27288256798952348</v>
      </c>
      <c r="O355" s="50" t="s">
        <v>58</v>
      </c>
      <c r="P355" s="83">
        <f>(B355+B356+B357+B358+B359+B360+B361+B362+B363+B364+B365+B366)/12</f>
        <v>63.941666666666663</v>
      </c>
      <c r="Q355" s="89">
        <v>126.5</v>
      </c>
      <c r="R355" s="89"/>
      <c r="S355" s="5"/>
      <c r="T355" s="5"/>
      <c r="U355" s="5"/>
    </row>
    <row r="356" spans="1:21" x14ac:dyDescent="0.25">
      <c r="A356" s="82" t="s">
        <v>1</v>
      </c>
      <c r="B356" s="10">
        <v>179.3</v>
      </c>
      <c r="C356" s="5"/>
      <c r="D356" s="1">
        <v>14198</v>
      </c>
      <c r="E356" s="5"/>
      <c r="F356" s="5"/>
      <c r="G356" s="26">
        <f>(5.01*(B356^0.59)*Z$71)/(86.4*J$15)</f>
        <v>17.799325440928307</v>
      </c>
      <c r="H356" s="42">
        <f>L$32^(J356-(0.6458446*LN(P$36))-(9.53942*N356*(P$36/P$35))+(4.8904*N356))</f>
        <v>28.893529329386819</v>
      </c>
      <c r="I356" s="42">
        <f t="shared" ref="I356:I366" si="115">((L$32^(J356-(0.6458446*LN(P$36))-(9.53942*N356*(P$36/P$35))+(4.8904*N356)))/1000)*$Z$71</f>
        <v>12.041089412728663</v>
      </c>
      <c r="J356" s="87">
        <v>4.7</v>
      </c>
      <c r="K356" s="56"/>
      <c r="L356" s="56"/>
      <c r="M356" s="83">
        <f t="shared" si="114"/>
        <v>98.780355149325288</v>
      </c>
      <c r="N356" s="10">
        <f t="shared" ref="N356:N366" si="116">M356/Q356</f>
        <v>0.86195772381610203</v>
      </c>
      <c r="O356" s="50" t="s">
        <v>66</v>
      </c>
      <c r="P356" s="83">
        <f>((((B355-P355)^2+(B356-P355)^2+(B357-P355)^2+(B358-P355)^2+(B359-P355)^2+(B360-P355)^2+(B361-P355)^2+(B362-P355)^2+(B363-P355)^2+(B364-P355)^2+(B365-P355)^2+(B366-P355)^2))/(12-1))^0.5</f>
        <v>108.81033087929018</v>
      </c>
      <c r="Q356" s="89">
        <v>114.6</v>
      </c>
      <c r="R356" s="89"/>
      <c r="S356" s="5"/>
      <c r="T356" s="5"/>
      <c r="U356" s="5"/>
    </row>
    <row r="357" spans="1:21" x14ac:dyDescent="0.25">
      <c r="A357" s="82" t="s">
        <v>2</v>
      </c>
      <c r="B357" s="10">
        <v>161.9</v>
      </c>
      <c r="C357" s="5"/>
      <c r="D357" s="1">
        <v>15242</v>
      </c>
      <c r="E357" s="5"/>
      <c r="F357" s="5"/>
      <c r="G357" s="26">
        <f>(5.01*(B357^0.59)*Z$71)/(86.4*I$16)</f>
        <v>15.677727722231962</v>
      </c>
      <c r="H357" s="42">
        <f>L$32^(J357-(0.6458446*LN(P$36))-(9.53942*N357*(P$36/P$35))+(4.8904*N357))</f>
        <v>26.830107482578814</v>
      </c>
      <c r="I357" s="42">
        <f t="shared" si="115"/>
        <v>11.181178992289894</v>
      </c>
      <c r="J357" s="87">
        <v>4.7</v>
      </c>
      <c r="K357" s="56"/>
      <c r="L357" s="58"/>
      <c r="M357" s="83">
        <f t="shared" si="114"/>
        <v>81.380355149325283</v>
      </c>
      <c r="N357" s="10">
        <f t="shared" si="116"/>
        <v>0.62408247813899753</v>
      </c>
      <c r="O357" s="83"/>
      <c r="P357" s="83"/>
      <c r="Q357" s="89">
        <v>130.4</v>
      </c>
      <c r="R357" s="89"/>
      <c r="S357" s="5"/>
      <c r="T357" s="5"/>
      <c r="U357" s="5"/>
    </row>
    <row r="358" spans="1:21" x14ac:dyDescent="0.25">
      <c r="A358" s="82" t="s">
        <v>3</v>
      </c>
      <c r="B358" s="10">
        <v>343.6</v>
      </c>
      <c r="C358" s="5"/>
      <c r="D358" s="1">
        <v>23167</v>
      </c>
      <c r="E358" s="5"/>
      <c r="F358" s="5"/>
      <c r="G358" s="26">
        <f>(5.01*(B358^0.59)*Z$71)/(86.4*I$17)</f>
        <v>25.254529251480484</v>
      </c>
      <c r="H358" s="42">
        <f>L$32^(J358-(0.6458446*LN(P$36))-(9.53942*N358*(P$36/P$35))+(4.8904*N358))</f>
        <v>41.901548025414904</v>
      </c>
      <c r="I358" s="42">
        <f>((L$32^(J358-(0.6458446*LN(P$36))-(9.53942*N358*(P$36/P$35))+(4.8904*N358)))/1000)*$Z$71</f>
        <v>17.462051124111408</v>
      </c>
      <c r="J358" s="87">
        <v>4.7</v>
      </c>
      <c r="K358" s="56"/>
      <c r="L358" s="56"/>
      <c r="M358" s="83">
        <f t="shared" si="114"/>
        <v>263.08035514932533</v>
      </c>
      <c r="N358" s="10">
        <f t="shared" si="116"/>
        <v>2.0553152746041041</v>
      </c>
      <c r="O358" s="83"/>
      <c r="P358" s="83"/>
      <c r="Q358" s="89">
        <v>128</v>
      </c>
      <c r="R358" s="89"/>
      <c r="S358" s="5"/>
      <c r="T358" s="5"/>
      <c r="U358" s="5"/>
    </row>
    <row r="359" spans="1:21" x14ac:dyDescent="0.25">
      <c r="A359" s="82" t="s">
        <v>4</v>
      </c>
      <c r="B359" s="10">
        <v>6.3</v>
      </c>
      <c r="C359" s="5"/>
      <c r="D359" s="1">
        <v>7142</v>
      </c>
      <c r="E359" s="5"/>
      <c r="F359" s="5"/>
      <c r="G359" s="26">
        <f>(5.01*(B359^0.59)*Z$71)/(86.4*I$18)</f>
        <v>2.3090769239442173</v>
      </c>
      <c r="H359" s="42">
        <f t="shared" ref="H359:H366" si="117">L$32^(J359-(0.6458446*LN(P$36))-(9.53942*N359*(P$36/P$35))+(4.8904*N359))</f>
        <v>18.321937467582522</v>
      </c>
      <c r="I359" s="42">
        <f t="shared" si="115"/>
        <v>7.6354842202403397</v>
      </c>
      <c r="J359" s="87">
        <v>4.7</v>
      </c>
      <c r="K359" s="56"/>
      <c r="L359" s="56"/>
      <c r="M359" s="83">
        <f t="shared" si="114"/>
        <v>-74.219644850674726</v>
      </c>
      <c r="N359" s="10">
        <f t="shared" si="116"/>
        <v>-0.60048256351678586</v>
      </c>
      <c r="O359" s="59"/>
      <c r="P359" s="59"/>
      <c r="Q359" s="89">
        <v>123.6</v>
      </c>
      <c r="R359" s="89"/>
      <c r="S359" s="5"/>
      <c r="T359" s="5"/>
      <c r="U359" s="5"/>
    </row>
    <row r="360" spans="1:21" x14ac:dyDescent="0.25">
      <c r="A360" s="82" t="s">
        <v>5</v>
      </c>
      <c r="B360" s="10">
        <v>0</v>
      </c>
      <c r="C360" s="5"/>
      <c r="D360" s="1">
        <v>1288</v>
      </c>
      <c r="E360" s="5"/>
      <c r="F360" s="5"/>
      <c r="G360" s="26">
        <f>(5.01*(B360^0.59)*Z$71)/(86.4*I$19)</f>
        <v>0</v>
      </c>
      <c r="H360" s="42">
        <f t="shared" si="117"/>
        <v>7.8939305097816383</v>
      </c>
      <c r="I360" s="42">
        <f t="shared" si="115"/>
        <v>3.2897166006464005</v>
      </c>
      <c r="J360" s="87">
        <v>3.9</v>
      </c>
      <c r="K360" s="56"/>
      <c r="L360" s="56"/>
      <c r="M360" s="83">
        <f t="shared" si="114"/>
        <v>-80.519644850674723</v>
      </c>
      <c r="N360" s="10">
        <f t="shared" si="116"/>
        <v>-0.73533922238059113</v>
      </c>
      <c r="O360" s="59"/>
      <c r="P360" s="59"/>
      <c r="Q360" s="89">
        <v>109.5</v>
      </c>
      <c r="R360" s="89"/>
      <c r="S360" s="5"/>
      <c r="T360" s="5"/>
      <c r="U360" s="5"/>
    </row>
    <row r="361" spans="1:21" x14ac:dyDescent="0.25">
      <c r="A361" s="82" t="s">
        <v>6</v>
      </c>
      <c r="B361" s="10">
        <v>0</v>
      </c>
      <c r="C361" s="5"/>
      <c r="D361" s="10">
        <v>0.10299999999999999</v>
      </c>
      <c r="E361" s="5"/>
      <c r="F361" s="5"/>
      <c r="G361" s="26">
        <f>(5.01*(B361^0.59)*Z$71)/(86.4*I$20)</f>
        <v>0</v>
      </c>
      <c r="H361" s="42">
        <f t="shared" si="117"/>
        <v>1.7461443114875281</v>
      </c>
      <c r="I361" s="42">
        <f t="shared" si="115"/>
        <v>0.72768818036931249</v>
      </c>
      <c r="J361" s="87">
        <v>2.4</v>
      </c>
      <c r="K361" s="56"/>
      <c r="L361" s="56"/>
      <c r="M361" s="83">
        <f t="shared" si="114"/>
        <v>-80.519644850674723</v>
      </c>
      <c r="N361" s="10">
        <f t="shared" si="116"/>
        <v>-0.76321938247085042</v>
      </c>
      <c r="O361" s="59"/>
      <c r="P361" s="59"/>
      <c r="Q361" s="89">
        <v>105.5</v>
      </c>
      <c r="R361" s="89"/>
      <c r="S361" s="5"/>
      <c r="T361" s="5"/>
      <c r="U361" s="5"/>
    </row>
    <row r="362" spans="1:21" x14ac:dyDescent="0.25">
      <c r="A362" s="82" t="s">
        <v>7</v>
      </c>
      <c r="B362" s="10">
        <v>0.4</v>
      </c>
      <c r="C362" s="5"/>
      <c r="D362" s="10">
        <v>0.24099999999999999</v>
      </c>
      <c r="E362" s="5"/>
      <c r="F362" s="5"/>
      <c r="G362" s="26">
        <f>(5.01*(B362^0.59)*Z$71)/(86.4*I$21)</f>
        <v>0.45398643017853541</v>
      </c>
      <c r="H362" s="42">
        <f t="shared" si="117"/>
        <v>0.47514728374101484</v>
      </c>
      <c r="I362" s="42">
        <f t="shared" si="115"/>
        <v>0.19801287902623052</v>
      </c>
      <c r="J362" s="87">
        <v>1.1000000000000001</v>
      </c>
      <c r="K362" s="56"/>
      <c r="L362" s="56"/>
      <c r="M362" s="83">
        <f t="shared" si="114"/>
        <v>-80.119644850674717</v>
      </c>
      <c r="N362" s="10">
        <f t="shared" si="116"/>
        <v>-0.76816533893264349</v>
      </c>
      <c r="O362" s="60"/>
      <c r="P362" s="59"/>
      <c r="Q362" s="89">
        <v>104.3</v>
      </c>
      <c r="R362" s="89"/>
      <c r="S362" s="5"/>
      <c r="T362" s="5"/>
      <c r="U362" s="5"/>
    </row>
    <row r="363" spans="1:21" x14ac:dyDescent="0.25">
      <c r="A363" s="82" t="s">
        <v>8</v>
      </c>
      <c r="B363" s="10">
        <v>0.3</v>
      </c>
      <c r="C363" s="5"/>
      <c r="D363" s="10">
        <v>0.26300000000000001</v>
      </c>
      <c r="E363" s="5"/>
      <c r="F363" s="5"/>
      <c r="G363" s="26">
        <f>(5.01*(B363^0.59)*Z$71)/(86.4*I$22)</f>
        <v>0.3958853733822173</v>
      </c>
      <c r="H363" s="42">
        <f>L$32^(J363-(0.6458446*LN(P$36))-(9.53942*N363*(P$36/P$35))+(4.8904*N363))</f>
        <v>0.47187658797048526</v>
      </c>
      <c r="I363" s="42">
        <f t="shared" si="115"/>
        <v>0.19664984927082002</v>
      </c>
      <c r="J363" s="87">
        <v>1.1000000000000001</v>
      </c>
      <c r="K363" s="56"/>
      <c r="L363" s="56"/>
      <c r="M363" s="83">
        <f t="shared" si="114"/>
        <v>-80.219644850674726</v>
      </c>
      <c r="N363" s="10">
        <f t="shared" si="116"/>
        <v>-0.79034132857807615</v>
      </c>
      <c r="O363" s="59"/>
      <c r="P363" s="59"/>
      <c r="Q363" s="89">
        <v>101.5</v>
      </c>
      <c r="R363" s="89"/>
      <c r="S363" s="5"/>
      <c r="T363" s="5"/>
      <c r="U363" s="5"/>
    </row>
    <row r="364" spans="1:21" ht="18.75" x14ac:dyDescent="0.3">
      <c r="A364" s="82" t="s">
        <v>9</v>
      </c>
      <c r="B364" s="10">
        <v>1.1000000000000001</v>
      </c>
      <c r="C364" s="5"/>
      <c r="D364" s="10">
        <v>0.45800000000000002</v>
      </c>
      <c r="E364" s="5"/>
      <c r="F364" s="5"/>
      <c r="G364" s="26">
        <f>(5.01*(B364^0.59)*Z$71)/(86.4*I$23)</f>
        <v>0.82461107093750996</v>
      </c>
      <c r="H364" s="42">
        <f t="shared" si="117"/>
        <v>1.7632188505473452</v>
      </c>
      <c r="I364" s="42">
        <f>((L$32^(J364-(0.6458446*LN(P$36))-(9.53942*N364*(P$36/P$35))+(4.8904*N364)))/1000)*$Z$71</f>
        <v>0.73480382377710063</v>
      </c>
      <c r="J364" s="87">
        <v>2.4</v>
      </c>
      <c r="K364" s="56"/>
      <c r="L364" s="56"/>
      <c r="M364" s="83">
        <f t="shared" si="114"/>
        <v>-79.419644850674729</v>
      </c>
      <c r="N364" s="10">
        <f t="shared" si="116"/>
        <v>-0.73197829355460575</v>
      </c>
      <c r="O364" s="61"/>
      <c r="P364" s="62"/>
      <c r="Q364" s="89">
        <v>108.5</v>
      </c>
      <c r="R364" s="89"/>
      <c r="S364" s="5"/>
      <c r="T364" s="5"/>
      <c r="U364" s="5"/>
    </row>
    <row r="365" spans="1:21" x14ac:dyDescent="0.25">
      <c r="A365" s="82" t="s">
        <v>10</v>
      </c>
      <c r="B365" s="10">
        <v>1.6</v>
      </c>
      <c r="C365" s="5"/>
      <c r="D365" s="10">
        <v>0.61499999999999999</v>
      </c>
      <c r="E365" s="5"/>
      <c r="F365" s="5"/>
      <c r="G365" s="26">
        <f>(5.01*(B365^0.59)*Z$71)/(86.4*I$24)</f>
        <v>1.0629154158439398</v>
      </c>
      <c r="H365" s="42">
        <f t="shared" si="117"/>
        <v>7.9697762366599783</v>
      </c>
      <c r="I365" s="42">
        <f t="shared" si="115"/>
        <v>3.3213245488656793</v>
      </c>
      <c r="J365" s="87">
        <v>3.9</v>
      </c>
      <c r="K365" s="56"/>
      <c r="L365" s="56"/>
      <c r="M365" s="83">
        <f t="shared" si="114"/>
        <v>-78.919644850674729</v>
      </c>
      <c r="N365" s="10">
        <f t="shared" si="116"/>
        <v>-0.70463968616673867</v>
      </c>
      <c r="O365" s="62"/>
      <c r="P365" s="59"/>
      <c r="Q365" s="89">
        <v>112</v>
      </c>
      <c r="R365" s="89"/>
      <c r="S365" s="5"/>
      <c r="T365" s="5"/>
      <c r="U365" s="5"/>
    </row>
    <row r="366" spans="1:21" x14ac:dyDescent="0.25">
      <c r="A366" s="82" t="s">
        <v>11</v>
      </c>
      <c r="B366" s="10">
        <v>26.8</v>
      </c>
      <c r="C366" s="5"/>
      <c r="D366" s="1">
        <v>3442</v>
      </c>
      <c r="E366" s="5"/>
      <c r="F366" s="5"/>
      <c r="G366" s="26">
        <f>(5.01*(B366^0.59)*Z$71)/(86.4*I$25)</f>
        <v>5.4253405658893872</v>
      </c>
      <c r="H366" s="42">
        <f t="shared" si="117"/>
        <v>8.6507554787822514</v>
      </c>
      <c r="I366" s="42">
        <f t="shared" si="115"/>
        <v>3.6051158382277153</v>
      </c>
      <c r="J366" s="87">
        <v>3.9</v>
      </c>
      <c r="K366" s="56"/>
      <c r="L366" s="56"/>
      <c r="M366" s="83">
        <f t="shared" si="114"/>
        <v>-53.719644850674726</v>
      </c>
      <c r="N366" s="10">
        <f t="shared" si="116"/>
        <v>-0.44141039318549485</v>
      </c>
      <c r="O366" s="83"/>
      <c r="P366" s="83"/>
      <c r="Q366" s="89">
        <v>121.7</v>
      </c>
      <c r="R366" s="89"/>
      <c r="S366" s="5"/>
      <c r="T366" s="5"/>
      <c r="U366" s="5"/>
    </row>
    <row r="367" spans="1:21" x14ac:dyDescent="0.25">
      <c r="C367" s="5"/>
      <c r="D367" s="5"/>
      <c r="E367" s="5"/>
      <c r="F367" s="5"/>
      <c r="H367" s="83"/>
      <c r="I367" s="83"/>
      <c r="J367" s="83"/>
      <c r="K367" s="56"/>
      <c r="L367" s="56"/>
      <c r="M367" s="83"/>
      <c r="N367" s="83"/>
      <c r="O367" s="83"/>
      <c r="P367" s="83"/>
      <c r="Q367" s="10"/>
      <c r="R367" s="10"/>
      <c r="S367" s="5"/>
      <c r="T367" s="5"/>
      <c r="U367" s="5"/>
    </row>
    <row r="368" spans="1:21" x14ac:dyDescent="0.25">
      <c r="C368" s="5"/>
      <c r="D368" s="5"/>
      <c r="E368" s="5"/>
      <c r="F368" s="5"/>
      <c r="G368" s="26"/>
      <c r="H368" s="83"/>
      <c r="I368" s="83"/>
      <c r="J368" s="83"/>
      <c r="K368" s="56"/>
      <c r="L368" s="56"/>
      <c r="M368" s="83"/>
      <c r="N368" s="83"/>
      <c r="O368" s="83"/>
      <c r="P368" s="83"/>
      <c r="Q368" s="10"/>
      <c r="R368" s="10"/>
      <c r="S368" s="5"/>
      <c r="T368" s="5"/>
      <c r="U368" s="5"/>
    </row>
    <row r="369" spans="3:21" x14ac:dyDescent="0.25">
      <c r="C369" s="5"/>
      <c r="D369" s="5"/>
      <c r="E369" s="5"/>
      <c r="F369" s="5"/>
      <c r="G369" s="26"/>
      <c r="H369" s="83"/>
      <c r="I369" s="83"/>
      <c r="J369" s="83"/>
      <c r="K369" s="56"/>
      <c r="L369" s="56"/>
      <c r="M369" s="83"/>
      <c r="N369" s="83"/>
      <c r="O369" s="10"/>
      <c r="P369" s="10"/>
      <c r="Q369" s="10"/>
      <c r="R369" s="10"/>
      <c r="S369" s="5"/>
      <c r="T369" s="5"/>
      <c r="U369" s="5"/>
    </row>
    <row r="370" spans="3:21" x14ac:dyDescent="0.25">
      <c r="C370" s="5"/>
      <c r="D370" s="5"/>
      <c r="E370" s="5"/>
      <c r="F370" s="5"/>
      <c r="G370" s="26"/>
      <c r="H370" s="83"/>
      <c r="I370" s="83"/>
      <c r="J370" s="83"/>
      <c r="K370" s="56"/>
      <c r="L370" s="56"/>
      <c r="M370" s="83"/>
      <c r="N370" s="83"/>
      <c r="O370" s="83"/>
      <c r="P370" s="10"/>
      <c r="Q370" s="10"/>
      <c r="R370" s="10"/>
      <c r="S370" s="5"/>
      <c r="T370" s="5"/>
      <c r="U370" s="5"/>
    </row>
    <row r="371" spans="3:21" x14ac:dyDescent="0.25">
      <c r="C371" s="5"/>
      <c r="D371" s="5"/>
      <c r="E371" s="5"/>
      <c r="F371" s="5"/>
      <c r="G371" s="26"/>
      <c r="H371" s="83"/>
      <c r="I371" s="83"/>
      <c r="J371" s="83"/>
      <c r="K371" s="83"/>
      <c r="L371" s="83"/>
      <c r="M371" s="83"/>
      <c r="N371" s="83"/>
      <c r="O371" s="10"/>
      <c r="P371" s="10"/>
      <c r="Q371" s="10"/>
      <c r="R371" s="10"/>
      <c r="S371" s="5"/>
      <c r="T371" s="5"/>
      <c r="U371" s="5"/>
    </row>
    <row r="372" spans="3:21" x14ac:dyDescent="0.25">
      <c r="C372" s="5"/>
      <c r="D372" s="5"/>
      <c r="E372" s="5"/>
      <c r="F372" s="5"/>
      <c r="G372" s="26"/>
      <c r="H372" s="83"/>
      <c r="I372" s="83"/>
      <c r="J372" s="83"/>
      <c r="K372" s="83"/>
      <c r="L372" s="83"/>
      <c r="M372" s="83"/>
      <c r="N372" s="83"/>
      <c r="O372" s="10"/>
      <c r="P372" s="10"/>
      <c r="Q372" s="10"/>
      <c r="R372" s="10"/>
      <c r="S372" s="5"/>
      <c r="T372" s="5"/>
      <c r="U372" s="5"/>
    </row>
    <row r="373" spans="3:21" x14ac:dyDescent="0.25">
      <c r="C373" s="5"/>
      <c r="D373" s="5"/>
      <c r="E373" s="5"/>
      <c r="F373" s="5"/>
      <c r="G373" s="26"/>
      <c r="H373" s="83"/>
      <c r="I373" s="83"/>
      <c r="J373" s="83"/>
      <c r="K373" s="83"/>
      <c r="L373" s="83"/>
      <c r="M373" s="83"/>
      <c r="N373" s="83"/>
      <c r="O373" s="10"/>
      <c r="P373" s="10"/>
      <c r="Q373" s="10"/>
      <c r="R373" s="10"/>
      <c r="S373" s="5"/>
      <c r="T373" s="5"/>
      <c r="U373" s="5"/>
    </row>
    <row r="374" spans="3:21" x14ac:dyDescent="0.25">
      <c r="C374" s="5"/>
      <c r="D374" s="5"/>
      <c r="E374" s="5"/>
      <c r="F374" s="5"/>
      <c r="G374" s="26"/>
      <c r="H374" s="83"/>
      <c r="I374" s="83"/>
      <c r="J374" s="83"/>
      <c r="K374" s="83"/>
      <c r="L374" s="83"/>
      <c r="M374" s="83"/>
      <c r="N374" s="83"/>
      <c r="O374" s="10"/>
      <c r="P374" s="10"/>
      <c r="Q374" s="10"/>
      <c r="R374" s="10"/>
      <c r="S374" s="5"/>
      <c r="T374" s="5"/>
      <c r="U374" s="5"/>
    </row>
    <row r="375" spans="3:21" x14ac:dyDescent="0.25">
      <c r="C375" s="5"/>
      <c r="D375" s="5"/>
      <c r="E375" s="5"/>
      <c r="F375" s="5"/>
      <c r="H375" s="83"/>
      <c r="I375" s="83"/>
      <c r="J375" s="83"/>
      <c r="K375" s="83"/>
      <c r="L375" s="83"/>
      <c r="M375" s="83"/>
      <c r="N375" s="83"/>
      <c r="O375" s="10"/>
      <c r="P375" s="10"/>
      <c r="Q375" s="10"/>
      <c r="R375" s="10"/>
      <c r="U375" s="5"/>
    </row>
    <row r="376" spans="3:21" x14ac:dyDescent="0.25">
      <c r="C376" s="5"/>
      <c r="D376" s="5"/>
      <c r="E376" s="5"/>
      <c r="F376" s="5"/>
      <c r="G376" s="26"/>
      <c r="H376" s="83"/>
      <c r="I376" s="83"/>
      <c r="J376" s="83"/>
      <c r="K376" s="83"/>
      <c r="L376" s="83"/>
      <c r="M376" s="83"/>
      <c r="N376" s="83"/>
      <c r="O376" s="10"/>
      <c r="P376" s="10"/>
      <c r="Q376" s="10"/>
      <c r="R376" s="10"/>
      <c r="U376" s="5"/>
    </row>
    <row r="377" spans="3:21" x14ac:dyDescent="0.25">
      <c r="C377" s="5"/>
      <c r="D377" s="5"/>
      <c r="E377" s="5"/>
      <c r="F377" s="5"/>
      <c r="G377" s="26"/>
      <c r="H377" s="83"/>
      <c r="I377" s="83"/>
      <c r="J377" s="83"/>
      <c r="K377" s="83"/>
      <c r="L377" s="83"/>
      <c r="M377" s="83"/>
      <c r="N377" s="83"/>
      <c r="O377" s="10"/>
      <c r="P377" s="10"/>
      <c r="Q377" s="10"/>
      <c r="R377" s="10"/>
      <c r="U377" s="5"/>
    </row>
    <row r="378" spans="3:21" x14ac:dyDescent="0.25">
      <c r="C378" s="5"/>
      <c r="D378" s="5"/>
      <c r="E378" s="5"/>
      <c r="F378" s="5"/>
      <c r="G378" s="26"/>
      <c r="H378" s="83"/>
      <c r="I378" s="83"/>
      <c r="J378" s="83"/>
      <c r="K378" s="83"/>
      <c r="L378" s="83"/>
      <c r="M378" s="83"/>
      <c r="N378" s="83"/>
      <c r="O378" s="10"/>
      <c r="P378" s="10"/>
      <c r="Q378" s="10"/>
      <c r="R378" s="10"/>
      <c r="U378" s="5"/>
    </row>
    <row r="379" spans="3:21" x14ac:dyDescent="0.25">
      <c r="C379" s="5"/>
      <c r="D379" s="5"/>
      <c r="E379" s="5"/>
      <c r="F379" s="5"/>
      <c r="G379" s="26"/>
      <c r="H379" s="10"/>
      <c r="I379" s="10"/>
      <c r="J379" s="10"/>
      <c r="K379" s="10"/>
      <c r="L379" s="10"/>
      <c r="M379" s="10"/>
      <c r="N379" s="10"/>
      <c r="O379" s="89"/>
      <c r="P379" s="89"/>
      <c r="Q379" s="10"/>
      <c r="R379" s="10"/>
      <c r="U379" s="5"/>
    </row>
    <row r="380" spans="3:21" x14ac:dyDescent="0.25">
      <c r="C380" s="5"/>
      <c r="D380" s="5"/>
      <c r="E380" s="5"/>
      <c r="F380" s="5"/>
      <c r="H380" s="83"/>
      <c r="I380" s="83"/>
      <c r="J380" s="83"/>
      <c r="K380" s="83"/>
      <c r="L380" s="83"/>
      <c r="M380" s="83"/>
      <c r="N380" s="83"/>
      <c r="O380" s="83"/>
      <c r="P380" s="83"/>
      <c r="Q380" s="10"/>
      <c r="R380" s="10"/>
      <c r="U380" s="5"/>
    </row>
    <row r="381" spans="3:21" x14ac:dyDescent="0.25">
      <c r="C381" s="5"/>
      <c r="D381" s="5"/>
      <c r="E381" s="5"/>
      <c r="F381" s="5"/>
      <c r="G381" s="26"/>
      <c r="H381" s="83"/>
      <c r="I381" s="83"/>
      <c r="J381" s="83"/>
      <c r="K381" s="83"/>
      <c r="L381" s="83"/>
      <c r="M381" s="83"/>
      <c r="N381" s="83"/>
      <c r="O381" s="83"/>
      <c r="P381" s="83"/>
      <c r="Q381" s="10"/>
      <c r="R381" s="10"/>
      <c r="U381" s="5"/>
    </row>
    <row r="382" spans="3:21" x14ac:dyDescent="0.25">
      <c r="C382" s="5"/>
      <c r="D382" s="5"/>
      <c r="E382" s="5"/>
      <c r="F382" s="5"/>
      <c r="G382" s="26"/>
      <c r="H382" s="83"/>
      <c r="I382" s="83"/>
      <c r="J382" s="83"/>
      <c r="K382" s="83"/>
      <c r="L382" s="83"/>
      <c r="M382" s="83"/>
      <c r="N382" s="83"/>
      <c r="O382" s="10"/>
      <c r="P382" s="10"/>
      <c r="Q382" s="10"/>
      <c r="R382" s="10"/>
      <c r="U382" s="5"/>
    </row>
    <row r="383" spans="3:21" x14ac:dyDescent="0.25">
      <c r="C383" s="5"/>
      <c r="D383" s="5"/>
      <c r="E383" s="5"/>
      <c r="F383" s="5"/>
      <c r="G383" s="26"/>
      <c r="H383" s="83"/>
      <c r="I383" s="83"/>
      <c r="J383" s="83"/>
      <c r="K383" s="83"/>
      <c r="L383" s="83"/>
      <c r="M383" s="83"/>
      <c r="N383" s="83"/>
      <c r="O383" s="83"/>
      <c r="P383" s="10"/>
      <c r="Q383" s="10"/>
      <c r="R383" s="10"/>
      <c r="U383" s="5"/>
    </row>
    <row r="384" spans="3:21" x14ac:dyDescent="0.25">
      <c r="C384" s="5"/>
      <c r="D384" s="5"/>
      <c r="E384" s="5"/>
      <c r="F384" s="5"/>
      <c r="G384" s="26"/>
      <c r="H384" s="83"/>
      <c r="I384" s="83"/>
      <c r="J384" s="83"/>
      <c r="K384" s="83"/>
      <c r="L384" s="83"/>
      <c r="M384" s="83"/>
      <c r="N384" s="83"/>
      <c r="O384" s="10"/>
      <c r="P384" s="10"/>
      <c r="Q384" s="10"/>
      <c r="R384" s="10"/>
      <c r="U384" s="5"/>
    </row>
    <row r="385" spans="1:21" x14ac:dyDescent="0.25">
      <c r="C385" s="5"/>
      <c r="D385" s="5"/>
      <c r="E385" s="5"/>
      <c r="F385" s="5"/>
      <c r="G385" s="26"/>
      <c r="H385" s="83"/>
      <c r="I385" s="83"/>
      <c r="J385" s="83"/>
      <c r="K385" s="83"/>
      <c r="L385" s="83"/>
      <c r="M385" s="83"/>
      <c r="N385" s="83"/>
      <c r="O385" s="10"/>
      <c r="P385" s="10"/>
      <c r="Q385" s="10"/>
      <c r="R385" s="10"/>
      <c r="U385" s="5"/>
    </row>
    <row r="386" spans="1:21" x14ac:dyDescent="0.25">
      <c r="C386" s="5"/>
      <c r="D386" s="5"/>
      <c r="E386" s="5"/>
      <c r="F386" s="5"/>
      <c r="G386" s="26"/>
      <c r="H386" s="83"/>
      <c r="I386" s="83"/>
      <c r="J386" s="83"/>
      <c r="K386" s="83"/>
      <c r="L386" s="83"/>
      <c r="M386" s="83"/>
      <c r="N386" s="83"/>
      <c r="O386" s="10"/>
      <c r="P386" s="10"/>
      <c r="Q386" s="10"/>
      <c r="R386" s="10"/>
      <c r="U386" s="5"/>
    </row>
    <row r="387" spans="1:21" x14ac:dyDescent="0.25">
      <c r="C387" s="5"/>
      <c r="D387" s="5"/>
      <c r="E387" s="5"/>
      <c r="F387" s="5"/>
      <c r="G387" s="26"/>
      <c r="H387" s="83"/>
      <c r="I387" s="83"/>
      <c r="J387" s="83"/>
      <c r="K387" s="83"/>
      <c r="L387" s="83"/>
      <c r="M387" s="83"/>
      <c r="N387" s="83"/>
      <c r="O387" s="10"/>
      <c r="P387" s="10"/>
      <c r="Q387" s="10"/>
      <c r="R387" s="10"/>
      <c r="U387" s="5"/>
    </row>
    <row r="388" spans="1:21" x14ac:dyDescent="0.25">
      <c r="C388" s="5"/>
      <c r="D388" s="5"/>
      <c r="E388" s="5"/>
      <c r="F388" s="5"/>
      <c r="G388" s="26"/>
      <c r="H388" s="83"/>
      <c r="I388" s="83"/>
      <c r="J388" s="83"/>
      <c r="K388" s="83"/>
      <c r="L388" s="83"/>
      <c r="M388" s="83"/>
      <c r="N388" s="83"/>
      <c r="O388" s="10"/>
      <c r="P388" s="10"/>
      <c r="Q388" s="10"/>
      <c r="R388" s="10"/>
      <c r="U388" s="5"/>
    </row>
    <row r="389" spans="1:21" x14ac:dyDescent="0.25">
      <c r="C389" s="5"/>
      <c r="D389" s="5"/>
      <c r="E389" s="5"/>
      <c r="F389" s="5"/>
      <c r="G389" s="26"/>
      <c r="H389" s="83"/>
      <c r="I389" s="83"/>
      <c r="J389" s="83"/>
      <c r="K389" s="83"/>
      <c r="L389" s="83"/>
      <c r="M389" s="83"/>
      <c r="N389" s="83"/>
      <c r="O389" s="10"/>
      <c r="P389" s="10"/>
      <c r="Q389" s="10"/>
      <c r="R389" s="10"/>
      <c r="U389" s="5"/>
    </row>
    <row r="390" spans="1:21" x14ac:dyDescent="0.25">
      <c r="C390" s="5"/>
      <c r="D390" s="5"/>
      <c r="E390" s="5"/>
      <c r="F390" s="5"/>
      <c r="G390" s="26"/>
      <c r="H390" s="83"/>
      <c r="I390" s="83"/>
      <c r="J390" s="83"/>
      <c r="K390" s="83"/>
      <c r="L390" s="83"/>
      <c r="M390" s="83"/>
      <c r="N390" s="83"/>
      <c r="O390" s="10"/>
      <c r="P390" s="10"/>
      <c r="Q390" s="10"/>
      <c r="R390" s="10"/>
      <c r="U390" s="5"/>
    </row>
    <row r="391" spans="1:21" x14ac:dyDescent="0.25">
      <c r="C391" s="5"/>
      <c r="D391" s="5"/>
      <c r="E391" s="5"/>
      <c r="F391" s="5"/>
      <c r="G391" s="26"/>
      <c r="H391" s="83"/>
      <c r="I391" s="83"/>
      <c r="J391" s="83"/>
      <c r="K391" s="83"/>
      <c r="L391" s="83"/>
      <c r="M391" s="83"/>
      <c r="N391" s="83"/>
      <c r="O391" s="10"/>
      <c r="P391" s="10"/>
      <c r="Q391" s="10"/>
      <c r="R391" s="10"/>
      <c r="U391" s="5"/>
    </row>
    <row r="392" spans="1:21" x14ac:dyDescent="0.25">
      <c r="C392" s="5"/>
      <c r="D392" s="5"/>
      <c r="E392" s="5"/>
      <c r="F392" s="5"/>
      <c r="G392" s="26"/>
      <c r="H392" s="10"/>
      <c r="I392" s="10"/>
      <c r="J392" s="10"/>
      <c r="K392" s="10"/>
      <c r="L392" s="10"/>
      <c r="M392" s="10"/>
      <c r="N392" s="10"/>
      <c r="O392" s="89"/>
      <c r="P392" s="89"/>
      <c r="Q392" s="10"/>
      <c r="R392" s="10"/>
      <c r="U392" s="5"/>
    </row>
    <row r="393" spans="1:21" x14ac:dyDescent="0.25">
      <c r="A393" s="82"/>
      <c r="G393" s="5"/>
      <c r="H393" s="83"/>
      <c r="I393" s="83"/>
      <c r="J393" s="83"/>
      <c r="K393" s="83"/>
      <c r="L393" s="83"/>
      <c r="M393" s="83"/>
      <c r="N393" s="83"/>
      <c r="O393" s="83"/>
      <c r="P393" s="83"/>
      <c r="Q393" s="10"/>
      <c r="R393" s="10"/>
    </row>
    <row r="394" spans="1:21" x14ac:dyDescent="0.25">
      <c r="A394" s="82"/>
      <c r="H394" s="83"/>
      <c r="I394" s="83"/>
      <c r="J394" s="83"/>
      <c r="K394" s="83"/>
      <c r="L394" s="83"/>
      <c r="M394" s="83"/>
      <c r="N394" s="83"/>
      <c r="O394" s="83"/>
      <c r="P394" s="83"/>
      <c r="Q394" s="10"/>
      <c r="R394" s="10"/>
    </row>
    <row r="395" spans="1:21" x14ac:dyDescent="0.25">
      <c r="A395" s="82"/>
      <c r="H395" s="83"/>
      <c r="I395" s="83"/>
      <c r="J395" s="83"/>
      <c r="K395" s="83"/>
      <c r="L395" s="83"/>
      <c r="M395" s="83"/>
      <c r="N395" s="83"/>
      <c r="O395" s="10"/>
      <c r="P395" s="10"/>
      <c r="Q395" s="10"/>
      <c r="R395" s="10"/>
    </row>
    <row r="396" spans="1:21" x14ac:dyDescent="0.25">
      <c r="A396" s="82"/>
      <c r="H396" s="83"/>
      <c r="I396" s="83"/>
      <c r="J396" s="83"/>
      <c r="K396" s="83"/>
      <c r="L396" s="83"/>
      <c r="M396" s="83"/>
      <c r="N396" s="83"/>
      <c r="O396" s="83"/>
      <c r="P396" s="10"/>
      <c r="Q396" s="10"/>
      <c r="R396" s="10"/>
    </row>
    <row r="397" spans="1:21" x14ac:dyDescent="0.25">
      <c r="A397" s="82"/>
      <c r="H397" s="83"/>
      <c r="I397" s="83"/>
      <c r="J397" s="83"/>
      <c r="K397" s="83"/>
      <c r="L397" s="83"/>
      <c r="M397" s="83"/>
      <c r="N397" s="83"/>
      <c r="O397" s="10"/>
      <c r="P397" s="10"/>
      <c r="Q397" s="10"/>
      <c r="R397" s="10"/>
    </row>
    <row r="398" spans="1:21" x14ac:dyDescent="0.25">
      <c r="A398" s="82"/>
      <c r="H398" s="83"/>
      <c r="I398" s="83"/>
      <c r="J398" s="83"/>
      <c r="K398" s="83"/>
      <c r="L398" s="83"/>
      <c r="M398" s="83"/>
      <c r="N398" s="83"/>
      <c r="O398" s="10"/>
      <c r="P398" s="10"/>
      <c r="Q398" s="10"/>
      <c r="R398" s="10"/>
    </row>
    <row r="399" spans="1:21" x14ac:dyDescent="0.25">
      <c r="A399" s="82"/>
      <c r="H399" s="83"/>
      <c r="I399" s="83"/>
      <c r="J399" s="83"/>
      <c r="K399" s="83"/>
      <c r="L399" s="83"/>
      <c r="M399" s="83"/>
      <c r="N399" s="83"/>
      <c r="O399" s="10"/>
      <c r="P399" s="10"/>
      <c r="Q399" s="10"/>
      <c r="R399" s="10"/>
    </row>
    <row r="400" spans="1:21" x14ac:dyDescent="0.25">
      <c r="A400" s="82"/>
      <c r="H400" s="83"/>
      <c r="I400" s="83"/>
      <c r="J400" s="83"/>
      <c r="K400" s="83"/>
      <c r="L400" s="83"/>
      <c r="M400" s="83"/>
      <c r="N400" s="83"/>
      <c r="O400" s="10"/>
      <c r="P400" s="10"/>
      <c r="Q400" s="10"/>
      <c r="R400" s="10"/>
    </row>
    <row r="401" spans="1:18" x14ac:dyDescent="0.25">
      <c r="A401" s="82"/>
      <c r="H401" s="83"/>
      <c r="I401" s="83"/>
      <c r="J401" s="83"/>
      <c r="K401" s="83"/>
      <c r="L401" s="83"/>
      <c r="M401" s="83"/>
      <c r="N401" s="83"/>
      <c r="O401" s="10"/>
      <c r="P401" s="10"/>
      <c r="Q401" s="10"/>
      <c r="R401" s="10"/>
    </row>
    <row r="402" spans="1:18" x14ac:dyDescent="0.25">
      <c r="A402" s="82"/>
      <c r="H402" s="83"/>
      <c r="I402" s="83"/>
      <c r="J402" s="83"/>
      <c r="K402" s="83"/>
      <c r="L402" s="83"/>
      <c r="M402" s="83"/>
      <c r="N402" s="83"/>
      <c r="O402" s="10"/>
      <c r="P402" s="10"/>
      <c r="Q402" s="10"/>
      <c r="R402" s="10"/>
    </row>
    <row r="403" spans="1:18" x14ac:dyDescent="0.25">
      <c r="A403" s="82"/>
      <c r="H403" s="83"/>
      <c r="I403" s="83"/>
      <c r="J403" s="83"/>
      <c r="K403" s="83"/>
      <c r="L403" s="83"/>
      <c r="M403" s="83"/>
      <c r="N403" s="83"/>
      <c r="O403" s="10"/>
      <c r="P403" s="10"/>
      <c r="Q403" s="10"/>
      <c r="R403" s="10"/>
    </row>
    <row r="404" spans="1:18" x14ac:dyDescent="0.25">
      <c r="A404" s="82"/>
      <c r="H404" s="83"/>
      <c r="I404" s="83"/>
      <c r="J404" s="83"/>
      <c r="K404" s="83"/>
      <c r="L404" s="83"/>
      <c r="M404" s="83"/>
      <c r="N404" s="83"/>
      <c r="O404" s="10"/>
      <c r="P404" s="10"/>
      <c r="Q404" s="10"/>
      <c r="R404" s="10"/>
    </row>
    <row r="405" spans="1:18" x14ac:dyDescent="0.25">
      <c r="A405" s="82"/>
      <c r="H405" s="10"/>
      <c r="I405" s="10"/>
      <c r="J405" s="10"/>
      <c r="K405" s="10"/>
      <c r="L405" s="10"/>
      <c r="M405" s="10"/>
      <c r="N405" s="10"/>
      <c r="O405" s="89"/>
      <c r="P405" s="89"/>
      <c r="Q405" s="10"/>
      <c r="R405" s="10"/>
    </row>
    <row r="406" spans="1:18" x14ac:dyDescent="0.25">
      <c r="A406" s="82"/>
      <c r="H406" s="83"/>
      <c r="I406" s="83"/>
      <c r="J406" s="83"/>
      <c r="K406" s="83"/>
      <c r="L406" s="83"/>
      <c r="M406" s="83"/>
      <c r="N406" s="83"/>
      <c r="O406" s="83"/>
      <c r="P406" s="83"/>
      <c r="Q406" s="10"/>
      <c r="R406" s="10"/>
    </row>
    <row r="407" spans="1:18" x14ac:dyDescent="0.25">
      <c r="A407" s="82"/>
      <c r="H407" s="83"/>
      <c r="I407" s="83"/>
      <c r="J407" s="83"/>
      <c r="K407" s="83"/>
      <c r="L407" s="83"/>
      <c r="M407" s="83"/>
      <c r="N407" s="83"/>
      <c r="O407" s="83"/>
      <c r="P407" s="83"/>
      <c r="Q407" s="10"/>
      <c r="R407" s="10"/>
    </row>
    <row r="408" spans="1:18" x14ac:dyDescent="0.25">
      <c r="A408" s="82"/>
      <c r="H408" s="83"/>
      <c r="I408" s="83"/>
      <c r="J408" s="83"/>
      <c r="K408" s="83"/>
      <c r="L408" s="83"/>
      <c r="M408" s="83"/>
      <c r="N408" s="83"/>
      <c r="O408" s="10"/>
      <c r="P408" s="10"/>
      <c r="Q408" s="10"/>
      <c r="R408" s="10"/>
    </row>
    <row r="409" spans="1:18" x14ac:dyDescent="0.25">
      <c r="A409" s="82"/>
      <c r="H409" s="83"/>
      <c r="I409" s="83"/>
      <c r="J409" s="83"/>
      <c r="K409" s="83"/>
      <c r="L409" s="83"/>
      <c r="M409" s="83"/>
      <c r="N409" s="83"/>
      <c r="O409" s="83"/>
      <c r="P409" s="10"/>
      <c r="Q409" s="10"/>
      <c r="R409" s="10"/>
    </row>
    <row r="410" spans="1:18" x14ac:dyDescent="0.25">
      <c r="A410" s="82"/>
      <c r="H410" s="83"/>
      <c r="I410" s="83"/>
      <c r="J410" s="83"/>
      <c r="K410" s="83"/>
      <c r="L410" s="83"/>
      <c r="M410" s="83"/>
      <c r="N410" s="83"/>
      <c r="O410" s="10"/>
      <c r="P410" s="10"/>
      <c r="Q410" s="10"/>
      <c r="R410" s="10"/>
    </row>
    <row r="411" spans="1:18" x14ac:dyDescent="0.25">
      <c r="A411" s="82"/>
      <c r="H411" s="83"/>
      <c r="I411" s="83"/>
      <c r="J411" s="83"/>
      <c r="K411" s="83"/>
      <c r="L411" s="83"/>
      <c r="M411" s="83"/>
      <c r="N411" s="83"/>
      <c r="O411" s="10"/>
      <c r="P411" s="10"/>
      <c r="Q411" s="10"/>
      <c r="R411" s="10"/>
    </row>
    <row r="412" spans="1:18" x14ac:dyDescent="0.25">
      <c r="A412" s="82"/>
      <c r="H412" s="83"/>
      <c r="I412" s="83"/>
      <c r="J412" s="83"/>
      <c r="K412" s="83"/>
      <c r="L412" s="83"/>
      <c r="M412" s="83"/>
      <c r="N412" s="83"/>
      <c r="O412" s="10"/>
      <c r="P412" s="10"/>
      <c r="Q412" s="10"/>
      <c r="R412" s="10"/>
    </row>
    <row r="413" spans="1:18" x14ac:dyDescent="0.25">
      <c r="A413" s="82"/>
      <c r="H413" s="83"/>
      <c r="I413" s="83"/>
      <c r="J413" s="83"/>
      <c r="K413" s="83"/>
      <c r="L413" s="83"/>
      <c r="M413" s="83"/>
      <c r="N413" s="83"/>
      <c r="O413" s="10"/>
      <c r="P413" s="10"/>
      <c r="Q413" s="10"/>
      <c r="R413" s="10"/>
    </row>
    <row r="414" spans="1:18" x14ac:dyDescent="0.25">
      <c r="A414" s="82"/>
      <c r="H414" s="83"/>
      <c r="I414" s="83"/>
      <c r="J414" s="83"/>
      <c r="K414" s="83"/>
      <c r="L414" s="83"/>
      <c r="M414" s="83"/>
      <c r="N414" s="83"/>
      <c r="O414" s="10"/>
      <c r="P414" s="10"/>
      <c r="Q414" s="10"/>
      <c r="R414" s="10"/>
    </row>
    <row r="415" spans="1:18" x14ac:dyDescent="0.25">
      <c r="A415" s="82"/>
      <c r="H415" s="83"/>
      <c r="I415" s="83"/>
      <c r="J415" s="83"/>
      <c r="K415" s="83"/>
      <c r="L415" s="83"/>
      <c r="M415" s="83"/>
      <c r="N415" s="83"/>
      <c r="O415" s="10"/>
      <c r="P415" s="10"/>
      <c r="Q415" s="10"/>
      <c r="R415" s="10"/>
    </row>
    <row r="416" spans="1:18" x14ac:dyDescent="0.25">
      <c r="A416" s="82"/>
      <c r="H416" s="83"/>
      <c r="I416" s="83"/>
      <c r="J416" s="83"/>
      <c r="K416" s="83"/>
      <c r="L416" s="83"/>
      <c r="M416" s="83"/>
      <c r="N416" s="83"/>
      <c r="O416" s="10"/>
      <c r="P416" s="10"/>
      <c r="Q416" s="10"/>
      <c r="R416" s="10"/>
    </row>
    <row r="417" spans="1:18" x14ac:dyDescent="0.25">
      <c r="A417" s="82"/>
      <c r="H417" s="83"/>
      <c r="I417" s="83"/>
      <c r="J417" s="83"/>
      <c r="K417" s="83"/>
      <c r="L417" s="83"/>
      <c r="M417" s="83"/>
      <c r="N417" s="83"/>
      <c r="O417" s="10"/>
      <c r="P417" s="10"/>
      <c r="Q417" s="10"/>
      <c r="R417" s="10"/>
    </row>
    <row r="418" spans="1:18" x14ac:dyDescent="0.25">
      <c r="A418" s="82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</row>
    <row r="419" spans="1:18" x14ac:dyDescent="0.25">
      <c r="A419" s="82"/>
      <c r="H419" s="83"/>
      <c r="I419" s="83"/>
      <c r="J419" s="83"/>
      <c r="K419" s="83"/>
      <c r="L419" s="83"/>
      <c r="M419" s="83"/>
      <c r="N419" s="83"/>
      <c r="O419" s="10"/>
      <c r="P419" s="10"/>
      <c r="Q419" s="10"/>
      <c r="R419" s="10"/>
    </row>
    <row r="420" spans="1:18" x14ac:dyDescent="0.25">
      <c r="A420" s="82"/>
      <c r="H420" s="83"/>
      <c r="I420" s="83"/>
      <c r="J420" s="83"/>
      <c r="K420" s="83"/>
      <c r="L420" s="83"/>
      <c r="M420" s="83"/>
      <c r="N420" s="83"/>
      <c r="O420" s="10"/>
      <c r="P420" s="10"/>
      <c r="Q420" s="10"/>
      <c r="R420" s="10"/>
    </row>
    <row r="421" spans="1:18" x14ac:dyDescent="0.25">
      <c r="A421" s="82"/>
      <c r="H421" s="83"/>
      <c r="I421" s="83"/>
      <c r="J421" s="83"/>
      <c r="K421" s="83"/>
      <c r="L421" s="83"/>
      <c r="M421" s="83"/>
      <c r="N421" s="83"/>
      <c r="O421" s="10"/>
      <c r="P421" s="10"/>
      <c r="Q421" s="10"/>
      <c r="R421" s="10"/>
    </row>
    <row r="422" spans="1:18" x14ac:dyDescent="0.25">
      <c r="A422" s="82"/>
      <c r="H422" s="83"/>
      <c r="I422" s="83"/>
      <c r="J422" s="83"/>
      <c r="K422" s="83"/>
      <c r="L422" s="83"/>
      <c r="M422" s="83"/>
      <c r="N422" s="83"/>
      <c r="O422" s="10"/>
      <c r="P422" s="10"/>
      <c r="Q422" s="10"/>
      <c r="R422" s="10"/>
    </row>
    <row r="423" spans="1:18" x14ac:dyDescent="0.25">
      <c r="A423" s="82"/>
      <c r="H423" s="83"/>
      <c r="I423" s="83"/>
      <c r="J423" s="83"/>
      <c r="K423" s="83"/>
      <c r="L423" s="83"/>
      <c r="M423" s="83"/>
      <c r="N423" s="83"/>
      <c r="O423" s="10"/>
      <c r="P423" s="10"/>
      <c r="Q423" s="10"/>
      <c r="R423" s="10"/>
    </row>
    <row r="424" spans="1:18" x14ac:dyDescent="0.25">
      <c r="A424" s="82"/>
      <c r="H424" s="83"/>
      <c r="I424" s="83"/>
      <c r="J424" s="83"/>
      <c r="K424" s="83"/>
      <c r="L424" s="83"/>
      <c r="M424" s="83"/>
      <c r="N424" s="83"/>
      <c r="O424" s="10"/>
      <c r="P424" s="10"/>
      <c r="Q424" s="10"/>
      <c r="R424" s="10"/>
    </row>
    <row r="425" spans="1:18" x14ac:dyDescent="0.25">
      <c r="A425" s="82"/>
      <c r="H425" s="83"/>
      <c r="I425" s="83"/>
      <c r="J425" s="83"/>
      <c r="K425" s="83"/>
      <c r="L425" s="83"/>
      <c r="M425" s="83"/>
      <c r="N425" s="83"/>
      <c r="O425" s="10"/>
      <c r="P425" s="10"/>
      <c r="Q425" s="10"/>
      <c r="R425" s="10"/>
    </row>
    <row r="426" spans="1:18" x14ac:dyDescent="0.25">
      <c r="A426" s="82"/>
      <c r="H426" s="83"/>
      <c r="I426" s="83"/>
      <c r="J426" s="83"/>
      <c r="K426" s="83"/>
      <c r="L426" s="83"/>
      <c r="M426" s="83"/>
      <c r="N426" s="83"/>
      <c r="O426" s="10"/>
      <c r="P426" s="10"/>
      <c r="Q426" s="10"/>
      <c r="R426" s="10"/>
    </row>
    <row r="427" spans="1:18" x14ac:dyDescent="0.25">
      <c r="A427" s="82"/>
      <c r="H427" s="83"/>
      <c r="I427" s="83"/>
      <c r="J427" s="83"/>
      <c r="K427" s="83"/>
      <c r="L427" s="83"/>
      <c r="M427" s="83"/>
      <c r="N427" s="83"/>
      <c r="O427" s="10"/>
      <c r="P427" s="10"/>
      <c r="Q427" s="10"/>
      <c r="R427" s="10"/>
    </row>
    <row r="428" spans="1:18" x14ac:dyDescent="0.25">
      <c r="A428" s="82"/>
      <c r="H428" s="83"/>
      <c r="I428" s="83"/>
      <c r="J428" s="83"/>
      <c r="K428" s="83"/>
      <c r="L428" s="83"/>
      <c r="M428" s="83"/>
      <c r="N428" s="83"/>
      <c r="O428" s="10"/>
      <c r="P428" s="10"/>
      <c r="Q428" s="10"/>
      <c r="R428" s="10"/>
    </row>
    <row r="429" spans="1:18" x14ac:dyDescent="0.25">
      <c r="A429" s="82"/>
      <c r="H429" s="83"/>
      <c r="I429" s="83"/>
      <c r="J429" s="83"/>
      <c r="K429" s="83"/>
      <c r="L429" s="83"/>
      <c r="M429" s="83"/>
      <c r="N429" s="83"/>
      <c r="O429" s="10"/>
      <c r="P429" s="10"/>
      <c r="Q429" s="10"/>
      <c r="R429" s="10"/>
    </row>
    <row r="430" spans="1:18" x14ac:dyDescent="0.25">
      <c r="A430" s="82"/>
      <c r="H430" s="83"/>
      <c r="I430" s="83"/>
      <c r="J430" s="83"/>
      <c r="K430" s="83"/>
      <c r="L430" s="83"/>
      <c r="M430" s="83"/>
      <c r="N430" s="83"/>
      <c r="O430" s="10"/>
      <c r="P430" s="10"/>
      <c r="Q430" s="10"/>
      <c r="R430" s="10"/>
    </row>
    <row r="431" spans="1:18" x14ac:dyDescent="0.25">
      <c r="A431" s="82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</row>
    <row r="432" spans="1:18" x14ac:dyDescent="0.25">
      <c r="A432" s="82"/>
      <c r="H432" s="83"/>
      <c r="I432" s="83"/>
      <c r="J432" s="83"/>
      <c r="K432" s="83"/>
      <c r="L432" s="83"/>
      <c r="M432" s="83"/>
      <c r="N432" s="83"/>
      <c r="O432" s="10"/>
      <c r="P432" s="10"/>
      <c r="Q432" s="10"/>
      <c r="R432" s="10"/>
    </row>
    <row r="433" spans="1:18" x14ac:dyDescent="0.25">
      <c r="A433" s="82"/>
      <c r="H433" s="83"/>
      <c r="I433" s="83"/>
      <c r="J433" s="83"/>
      <c r="K433" s="83"/>
      <c r="L433" s="83"/>
      <c r="M433" s="83"/>
      <c r="N433" s="83"/>
      <c r="O433" s="10"/>
      <c r="P433" s="10"/>
      <c r="Q433" s="10"/>
      <c r="R433" s="10"/>
    </row>
    <row r="434" spans="1:18" x14ac:dyDescent="0.25">
      <c r="A434" s="82"/>
      <c r="H434" s="83"/>
      <c r="I434" s="83"/>
      <c r="J434" s="83"/>
      <c r="K434" s="83"/>
      <c r="L434" s="83"/>
      <c r="M434" s="83"/>
      <c r="N434" s="83"/>
      <c r="O434" s="10"/>
      <c r="P434" s="10"/>
      <c r="Q434" s="10"/>
      <c r="R434" s="10"/>
    </row>
    <row r="435" spans="1:18" x14ac:dyDescent="0.25">
      <c r="A435" s="82"/>
      <c r="H435" s="83"/>
      <c r="I435" s="83"/>
      <c r="J435" s="83"/>
      <c r="K435" s="83"/>
      <c r="L435" s="83"/>
      <c r="M435" s="83"/>
      <c r="N435" s="83"/>
      <c r="O435" s="10"/>
      <c r="P435" s="10"/>
      <c r="Q435" s="10"/>
      <c r="R435" s="10"/>
    </row>
    <row r="436" spans="1:18" x14ac:dyDescent="0.25">
      <c r="H436" s="83"/>
      <c r="I436" s="83"/>
      <c r="J436" s="83"/>
      <c r="K436" s="83"/>
      <c r="L436" s="83"/>
      <c r="M436" s="83"/>
      <c r="N436" s="83"/>
      <c r="O436" s="10"/>
      <c r="P436" s="10"/>
      <c r="Q436" s="10"/>
      <c r="R436" s="10"/>
    </row>
    <row r="437" spans="1:18" x14ac:dyDescent="0.25">
      <c r="H437" s="83"/>
      <c r="I437" s="83"/>
      <c r="J437" s="83"/>
      <c r="K437" s="83"/>
      <c r="L437" s="83"/>
      <c r="M437" s="83"/>
      <c r="N437" s="83"/>
      <c r="O437" s="10"/>
      <c r="P437" s="10"/>
      <c r="Q437" s="10"/>
      <c r="R437" s="10"/>
    </row>
    <row r="438" spans="1:18" x14ac:dyDescent="0.25">
      <c r="H438" s="83"/>
      <c r="I438" s="83"/>
      <c r="J438" s="83"/>
      <c r="K438" s="83"/>
      <c r="L438" s="83"/>
      <c r="M438" s="83"/>
      <c r="N438" s="83"/>
      <c r="O438" s="10"/>
      <c r="P438" s="10"/>
      <c r="Q438" s="10"/>
      <c r="R438" s="10"/>
    </row>
    <row r="439" spans="1:18" x14ac:dyDescent="0.25">
      <c r="H439" s="83"/>
      <c r="I439" s="83"/>
      <c r="J439" s="83"/>
      <c r="K439" s="83"/>
      <c r="L439" s="83"/>
      <c r="M439" s="83"/>
      <c r="N439" s="83"/>
      <c r="O439" s="10"/>
      <c r="P439" s="10"/>
      <c r="Q439" s="10"/>
      <c r="R439" s="10"/>
    </row>
    <row r="440" spans="1:18" x14ac:dyDescent="0.25">
      <c r="H440" s="83"/>
      <c r="I440" s="83"/>
      <c r="J440" s="83"/>
      <c r="K440" s="83"/>
      <c r="L440" s="83"/>
      <c r="M440" s="83"/>
      <c r="N440" s="83"/>
      <c r="O440" s="10"/>
      <c r="P440" s="10"/>
      <c r="Q440" s="10"/>
      <c r="R440" s="10"/>
    </row>
    <row r="441" spans="1:18" x14ac:dyDescent="0.25">
      <c r="H441" s="83"/>
      <c r="I441" s="83"/>
      <c r="J441" s="83"/>
      <c r="K441" s="83"/>
      <c r="L441" s="83"/>
      <c r="M441" s="83"/>
      <c r="N441" s="83"/>
      <c r="O441" s="10"/>
      <c r="P441" s="10"/>
      <c r="Q441" s="10"/>
      <c r="R441" s="10"/>
    </row>
    <row r="442" spans="1:18" x14ac:dyDescent="0.25">
      <c r="H442" s="83"/>
      <c r="I442" s="83"/>
      <c r="J442" s="83"/>
      <c r="K442" s="83"/>
      <c r="L442" s="83"/>
      <c r="M442" s="83"/>
      <c r="N442" s="83"/>
      <c r="O442" s="10"/>
      <c r="P442" s="10"/>
      <c r="Q442" s="10"/>
      <c r="R442" s="10"/>
    </row>
    <row r="443" spans="1:18" x14ac:dyDescent="0.25">
      <c r="H443" s="83"/>
      <c r="I443" s="83"/>
      <c r="J443" s="83"/>
      <c r="K443" s="83"/>
      <c r="L443" s="83"/>
      <c r="M443" s="83"/>
      <c r="N443" s="83"/>
      <c r="O443" s="10"/>
      <c r="P443" s="10"/>
      <c r="Q443" s="10"/>
      <c r="R443" s="10"/>
    </row>
    <row r="444" spans="1:18" x14ac:dyDescent="0.25"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</row>
    <row r="445" spans="1:18" x14ac:dyDescent="0.25"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</row>
    <row r="446" spans="1:18" x14ac:dyDescent="0.25"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</row>
    <row r="447" spans="1:18" x14ac:dyDescent="0.25"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</row>
    <row r="448" spans="1:18" x14ac:dyDescent="0.25"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</row>
    <row r="449" spans="8:18" x14ac:dyDescent="0.25"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</row>
    <row r="450" spans="8:18" x14ac:dyDescent="0.25"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</row>
    <row r="451" spans="8:18" x14ac:dyDescent="0.25"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</row>
    <row r="452" spans="8:18" x14ac:dyDescent="0.25"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</row>
    <row r="453" spans="8:18" x14ac:dyDescent="0.25"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</row>
    <row r="454" spans="8:18" x14ac:dyDescent="0.25"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</row>
    <row r="455" spans="8:18" x14ac:dyDescent="0.25"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</row>
    <row r="456" spans="8:18" x14ac:dyDescent="0.25"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</row>
    <row r="457" spans="8:18" x14ac:dyDescent="0.25"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</row>
    <row r="458" spans="8:18" x14ac:dyDescent="0.25"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</row>
    <row r="459" spans="8:18" x14ac:dyDescent="0.25"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</row>
    <row r="460" spans="8:18" x14ac:dyDescent="0.25"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</row>
    <row r="461" spans="8:18" x14ac:dyDescent="0.25"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</row>
    <row r="462" spans="8:18" x14ac:dyDescent="0.25"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</row>
    <row r="463" spans="8:18" x14ac:dyDescent="0.25"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</row>
    <row r="464" spans="8:18" x14ac:dyDescent="0.25"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</row>
    <row r="465" spans="8:18" x14ac:dyDescent="0.25"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</row>
  </sheetData>
  <mergeCells count="378">
    <mergeCell ref="Q364:R364"/>
    <mergeCell ref="Q365:R365"/>
    <mergeCell ref="Q366:R366"/>
    <mergeCell ref="O379:P379"/>
    <mergeCell ref="O392:P392"/>
    <mergeCell ref="O405:P405"/>
    <mergeCell ref="Q358:R358"/>
    <mergeCell ref="Q359:R359"/>
    <mergeCell ref="Q360:R360"/>
    <mergeCell ref="Q361:R361"/>
    <mergeCell ref="Q362:R362"/>
    <mergeCell ref="Q363:R363"/>
    <mergeCell ref="Q352:R352"/>
    <mergeCell ref="Q353:R353"/>
    <mergeCell ref="O354:P354"/>
    <mergeCell ref="Q355:R355"/>
    <mergeCell ref="Q356:R356"/>
    <mergeCell ref="Q357:R357"/>
    <mergeCell ref="Q346:R346"/>
    <mergeCell ref="Q347:R347"/>
    <mergeCell ref="Q348:R348"/>
    <mergeCell ref="Q349:R349"/>
    <mergeCell ref="Q350:R350"/>
    <mergeCell ref="Q351:R351"/>
    <mergeCell ref="Q340:R340"/>
    <mergeCell ref="O341:P341"/>
    <mergeCell ref="Q342:R342"/>
    <mergeCell ref="Q343:R343"/>
    <mergeCell ref="Q344:R344"/>
    <mergeCell ref="Q345:R345"/>
    <mergeCell ref="Q334:R334"/>
    <mergeCell ref="Q335:R335"/>
    <mergeCell ref="Q336:R336"/>
    <mergeCell ref="Q337:R337"/>
    <mergeCell ref="Q338:R338"/>
    <mergeCell ref="Q339:R339"/>
    <mergeCell ref="O328:P328"/>
    <mergeCell ref="Q329:R329"/>
    <mergeCell ref="Q330:R330"/>
    <mergeCell ref="Q331:R331"/>
    <mergeCell ref="Q332:R332"/>
    <mergeCell ref="Q333:R333"/>
    <mergeCell ref="Q322:R322"/>
    <mergeCell ref="Q323:R323"/>
    <mergeCell ref="Q324:R324"/>
    <mergeCell ref="Q325:R325"/>
    <mergeCell ref="Q326:R326"/>
    <mergeCell ref="Q327:R327"/>
    <mergeCell ref="Q316:R316"/>
    <mergeCell ref="Q317:R317"/>
    <mergeCell ref="Q318:R318"/>
    <mergeCell ref="Q319:R319"/>
    <mergeCell ref="Q320:R320"/>
    <mergeCell ref="Q321:R321"/>
    <mergeCell ref="Q310:R310"/>
    <mergeCell ref="Q311:R311"/>
    <mergeCell ref="Q312:R312"/>
    <mergeCell ref="Q313:R313"/>
    <mergeCell ref="Q314:R314"/>
    <mergeCell ref="O315:P315"/>
    <mergeCell ref="Q304:R304"/>
    <mergeCell ref="Q305:R305"/>
    <mergeCell ref="Q306:R306"/>
    <mergeCell ref="Q307:R307"/>
    <mergeCell ref="Q308:R308"/>
    <mergeCell ref="Q309:R309"/>
    <mergeCell ref="Q298:R298"/>
    <mergeCell ref="Q299:R299"/>
    <mergeCell ref="Q300:R300"/>
    <mergeCell ref="Q301:R301"/>
    <mergeCell ref="O302:P302"/>
    <mergeCell ref="Q303:R303"/>
    <mergeCell ref="Q292:R292"/>
    <mergeCell ref="Q293:R293"/>
    <mergeCell ref="Q294:R294"/>
    <mergeCell ref="Q295:R295"/>
    <mergeCell ref="Q296:R296"/>
    <mergeCell ref="Q297:R297"/>
    <mergeCell ref="Q286:R286"/>
    <mergeCell ref="Q287:R287"/>
    <mergeCell ref="Q288:R288"/>
    <mergeCell ref="O289:P289"/>
    <mergeCell ref="Q290:R290"/>
    <mergeCell ref="Q291:R291"/>
    <mergeCell ref="Q280:R280"/>
    <mergeCell ref="Q281:R281"/>
    <mergeCell ref="Q282:R282"/>
    <mergeCell ref="Q283:R283"/>
    <mergeCell ref="Q284:R284"/>
    <mergeCell ref="Q285:R285"/>
    <mergeCell ref="Q274:R274"/>
    <mergeCell ref="Q275:R275"/>
    <mergeCell ref="O276:P276"/>
    <mergeCell ref="Q277:R277"/>
    <mergeCell ref="Q278:R278"/>
    <mergeCell ref="Q279:R279"/>
    <mergeCell ref="Q268:R268"/>
    <mergeCell ref="Q269:R269"/>
    <mergeCell ref="Q270:R270"/>
    <mergeCell ref="Q271:R271"/>
    <mergeCell ref="Q272:R272"/>
    <mergeCell ref="Q273:R273"/>
    <mergeCell ref="Q262:R262"/>
    <mergeCell ref="O263:P263"/>
    <mergeCell ref="Q264:R264"/>
    <mergeCell ref="Q265:R265"/>
    <mergeCell ref="Q266:R266"/>
    <mergeCell ref="Q267:R267"/>
    <mergeCell ref="Q256:R256"/>
    <mergeCell ref="Q257:R257"/>
    <mergeCell ref="Q258:R258"/>
    <mergeCell ref="Q259:R259"/>
    <mergeCell ref="Q260:R260"/>
    <mergeCell ref="Q261:R261"/>
    <mergeCell ref="O250:P250"/>
    <mergeCell ref="Q251:R251"/>
    <mergeCell ref="Q252:R252"/>
    <mergeCell ref="Q253:R253"/>
    <mergeCell ref="Q254:R254"/>
    <mergeCell ref="Q255:R255"/>
    <mergeCell ref="Q244:R244"/>
    <mergeCell ref="Q245:R245"/>
    <mergeCell ref="Q246:R246"/>
    <mergeCell ref="Q247:R247"/>
    <mergeCell ref="Q248:R248"/>
    <mergeCell ref="Q249:R249"/>
    <mergeCell ref="Q238:R238"/>
    <mergeCell ref="Q239:R239"/>
    <mergeCell ref="Q240:R240"/>
    <mergeCell ref="Q241:R241"/>
    <mergeCell ref="Q242:R242"/>
    <mergeCell ref="Q243:R243"/>
    <mergeCell ref="Q232:R232"/>
    <mergeCell ref="Q233:R233"/>
    <mergeCell ref="Q234:R234"/>
    <mergeCell ref="Q235:R235"/>
    <mergeCell ref="Q236:R236"/>
    <mergeCell ref="O237:P237"/>
    <mergeCell ref="Q226:R226"/>
    <mergeCell ref="Q227:R227"/>
    <mergeCell ref="Q228:R228"/>
    <mergeCell ref="Q229:R229"/>
    <mergeCell ref="Q230:R230"/>
    <mergeCell ref="Q231:R231"/>
    <mergeCell ref="Q220:R220"/>
    <mergeCell ref="Q221:R221"/>
    <mergeCell ref="Q222:R222"/>
    <mergeCell ref="Q223:R223"/>
    <mergeCell ref="O224:P224"/>
    <mergeCell ref="Q225:R225"/>
    <mergeCell ref="Q214:R214"/>
    <mergeCell ref="Q215:R215"/>
    <mergeCell ref="Q216:R216"/>
    <mergeCell ref="Q217:R217"/>
    <mergeCell ref="Q218:R218"/>
    <mergeCell ref="Q219:R219"/>
    <mergeCell ref="Q208:R208"/>
    <mergeCell ref="Q209:R209"/>
    <mergeCell ref="Q210:R210"/>
    <mergeCell ref="O211:P211"/>
    <mergeCell ref="Q212:R212"/>
    <mergeCell ref="Q213:R213"/>
    <mergeCell ref="Q202:R202"/>
    <mergeCell ref="Q203:R203"/>
    <mergeCell ref="Q204:R204"/>
    <mergeCell ref="Q205:R205"/>
    <mergeCell ref="Q206:R206"/>
    <mergeCell ref="Q207:R207"/>
    <mergeCell ref="Q196:R196"/>
    <mergeCell ref="Q197:R197"/>
    <mergeCell ref="O198:P198"/>
    <mergeCell ref="Q199:R199"/>
    <mergeCell ref="Q200:R200"/>
    <mergeCell ref="Q201:R201"/>
    <mergeCell ref="Q190:R190"/>
    <mergeCell ref="Q191:R191"/>
    <mergeCell ref="Q192:R192"/>
    <mergeCell ref="Q193:R193"/>
    <mergeCell ref="Q194:R194"/>
    <mergeCell ref="Q195:R195"/>
    <mergeCell ref="Q184:R184"/>
    <mergeCell ref="O185:P185"/>
    <mergeCell ref="Q186:R186"/>
    <mergeCell ref="Q187:R187"/>
    <mergeCell ref="Q188:R188"/>
    <mergeCell ref="Q189:R189"/>
    <mergeCell ref="Q178:R178"/>
    <mergeCell ref="Q179:R179"/>
    <mergeCell ref="Q180:R180"/>
    <mergeCell ref="Q181:R181"/>
    <mergeCell ref="Q182:R182"/>
    <mergeCell ref="Q183:R183"/>
    <mergeCell ref="O172:P172"/>
    <mergeCell ref="Q173:R173"/>
    <mergeCell ref="Q174:R174"/>
    <mergeCell ref="Q175:R175"/>
    <mergeCell ref="Q176:R176"/>
    <mergeCell ref="Q177:R177"/>
    <mergeCell ref="Q166:R166"/>
    <mergeCell ref="Q167:R167"/>
    <mergeCell ref="Q168:R168"/>
    <mergeCell ref="Q169:R169"/>
    <mergeCell ref="Q170:R170"/>
    <mergeCell ref="Q171:R171"/>
    <mergeCell ref="Q160:R160"/>
    <mergeCell ref="Q161:R161"/>
    <mergeCell ref="Q162:R162"/>
    <mergeCell ref="Q163:R163"/>
    <mergeCell ref="Q164:R164"/>
    <mergeCell ref="Q165:R165"/>
    <mergeCell ref="Q154:R154"/>
    <mergeCell ref="Q155:R155"/>
    <mergeCell ref="Q156:R156"/>
    <mergeCell ref="Q157:R157"/>
    <mergeCell ref="Q158:R158"/>
    <mergeCell ref="O159:P159"/>
    <mergeCell ref="Q148:R148"/>
    <mergeCell ref="Q149:R149"/>
    <mergeCell ref="Q150:R150"/>
    <mergeCell ref="Q151:R151"/>
    <mergeCell ref="Q152:R152"/>
    <mergeCell ref="Q153:R153"/>
    <mergeCell ref="Q142:R142"/>
    <mergeCell ref="Q143:R143"/>
    <mergeCell ref="Q144:R144"/>
    <mergeCell ref="Q145:R145"/>
    <mergeCell ref="O146:P146"/>
    <mergeCell ref="Q147:R147"/>
    <mergeCell ref="Q136:R136"/>
    <mergeCell ref="Q137:R137"/>
    <mergeCell ref="Q138:R138"/>
    <mergeCell ref="Q139:R139"/>
    <mergeCell ref="Q140:R140"/>
    <mergeCell ref="Q141:R141"/>
    <mergeCell ref="Q130:R130"/>
    <mergeCell ref="Q131:R131"/>
    <mergeCell ref="Q132:R132"/>
    <mergeCell ref="O133:P133"/>
    <mergeCell ref="Q134:R134"/>
    <mergeCell ref="Q135:R135"/>
    <mergeCell ref="Q124:R124"/>
    <mergeCell ref="Q125:R125"/>
    <mergeCell ref="Q126:R126"/>
    <mergeCell ref="Q127:R127"/>
    <mergeCell ref="Q128:R128"/>
    <mergeCell ref="Q129:R129"/>
    <mergeCell ref="Q118:R118"/>
    <mergeCell ref="Q119:R119"/>
    <mergeCell ref="O120:P120"/>
    <mergeCell ref="Q121:R121"/>
    <mergeCell ref="Q122:R122"/>
    <mergeCell ref="Q123:R123"/>
    <mergeCell ref="Q112:R112"/>
    <mergeCell ref="Q113:R113"/>
    <mergeCell ref="Q114:R114"/>
    <mergeCell ref="Q115:R115"/>
    <mergeCell ref="Q116:R116"/>
    <mergeCell ref="Q117:R117"/>
    <mergeCell ref="Q106:R106"/>
    <mergeCell ref="O107:P107"/>
    <mergeCell ref="Q108:R108"/>
    <mergeCell ref="Q109:R109"/>
    <mergeCell ref="Q110:R110"/>
    <mergeCell ref="Q111:R111"/>
    <mergeCell ref="Q100:R100"/>
    <mergeCell ref="Q101:R101"/>
    <mergeCell ref="Q102:R102"/>
    <mergeCell ref="Q103:R103"/>
    <mergeCell ref="Q104:R104"/>
    <mergeCell ref="Q105:R105"/>
    <mergeCell ref="O94:P94"/>
    <mergeCell ref="Q95:R95"/>
    <mergeCell ref="Q96:R96"/>
    <mergeCell ref="Q97:R97"/>
    <mergeCell ref="Q98:R98"/>
    <mergeCell ref="Q99:R99"/>
    <mergeCell ref="Q88:R88"/>
    <mergeCell ref="Q89:R89"/>
    <mergeCell ref="Q90:R90"/>
    <mergeCell ref="Q91:R91"/>
    <mergeCell ref="Q92:R92"/>
    <mergeCell ref="Q93:R93"/>
    <mergeCell ref="Q82:R82"/>
    <mergeCell ref="Q83:R83"/>
    <mergeCell ref="Q84:R84"/>
    <mergeCell ref="Q85:R85"/>
    <mergeCell ref="Q86:R86"/>
    <mergeCell ref="Q87:R87"/>
    <mergeCell ref="Q76:R76"/>
    <mergeCell ref="Q77:R77"/>
    <mergeCell ref="Q78:R78"/>
    <mergeCell ref="Q79:R79"/>
    <mergeCell ref="Q80:R80"/>
    <mergeCell ref="O68:P68"/>
    <mergeCell ref="Q68:R68"/>
    <mergeCell ref="Q59:R59"/>
    <mergeCell ref="Q60:R60"/>
    <mergeCell ref="Q61:R61"/>
    <mergeCell ref="Q62:R62"/>
    <mergeCell ref="O81:P81"/>
    <mergeCell ref="C69:C80"/>
    <mergeCell ref="E69:E80"/>
    <mergeCell ref="F69:F80"/>
    <mergeCell ref="Q69:R69"/>
    <mergeCell ref="Q70:R70"/>
    <mergeCell ref="Q71:R71"/>
    <mergeCell ref="Q72:R72"/>
    <mergeCell ref="Q73:R73"/>
    <mergeCell ref="Q74:R74"/>
    <mergeCell ref="Q75:R75"/>
    <mergeCell ref="U62:W62"/>
    <mergeCell ref="Q63:R63"/>
    <mergeCell ref="Q53:R53"/>
    <mergeCell ref="Q54:R54"/>
    <mergeCell ref="O55:P55"/>
    <mergeCell ref="Q55:R55"/>
    <mergeCell ref="C56:C67"/>
    <mergeCell ref="E56:E67"/>
    <mergeCell ref="F56:F67"/>
    <mergeCell ref="Q56:R56"/>
    <mergeCell ref="Q57:R57"/>
    <mergeCell ref="Q58:R58"/>
    <mergeCell ref="C43:C54"/>
    <mergeCell ref="E43:E54"/>
    <mergeCell ref="F43:F54"/>
    <mergeCell ref="Q64:R64"/>
    <mergeCell ref="Q65:R65"/>
    <mergeCell ref="Q66:R66"/>
    <mergeCell ref="Q67:R67"/>
    <mergeCell ref="Q47:R47"/>
    <mergeCell ref="Q48:R48"/>
    <mergeCell ref="Q49:R49"/>
    <mergeCell ref="Q50:R50"/>
    <mergeCell ref="Q51:R51"/>
    <mergeCell ref="Q52:R52"/>
    <mergeCell ref="Q40:R40"/>
    <mergeCell ref="Q41:R41"/>
    <mergeCell ref="O42:P42"/>
    <mergeCell ref="Q43:R43"/>
    <mergeCell ref="Q44:R44"/>
    <mergeCell ref="Q45:R45"/>
    <mergeCell ref="Q46:R46"/>
    <mergeCell ref="C30:C41"/>
    <mergeCell ref="E30:E41"/>
    <mergeCell ref="F30:F41"/>
    <mergeCell ref="Q30:R30"/>
    <mergeCell ref="Q31:R31"/>
    <mergeCell ref="Q32:R32"/>
    <mergeCell ref="Q33:R33"/>
    <mergeCell ref="Q37:R37"/>
    <mergeCell ref="Q38:R38"/>
    <mergeCell ref="Q39:R39"/>
    <mergeCell ref="F20:G20"/>
    <mergeCell ref="C21:E21"/>
    <mergeCell ref="A23:C23"/>
    <mergeCell ref="F23:G23"/>
    <mergeCell ref="F24:G24"/>
    <mergeCell ref="L26:M26"/>
    <mergeCell ref="Q34:R34"/>
    <mergeCell ref="Q35:R35"/>
    <mergeCell ref="Q36:R36"/>
    <mergeCell ref="L27:M27"/>
    <mergeCell ref="O29:P29"/>
    <mergeCell ref="Q29:R29"/>
    <mergeCell ref="A17:C17"/>
    <mergeCell ref="F17:G17"/>
    <mergeCell ref="A18:C18"/>
    <mergeCell ref="F18:G18"/>
    <mergeCell ref="A19:C19"/>
    <mergeCell ref="F19:G19"/>
    <mergeCell ref="F2:G2"/>
    <mergeCell ref="J2:K2"/>
    <mergeCell ref="C14:E14"/>
    <mergeCell ref="A15:C15"/>
    <mergeCell ref="F15:G15"/>
    <mergeCell ref="K15:M16"/>
    <mergeCell ref="A16:C16"/>
    <mergeCell ref="F16:G1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Cuenca Rio Guayllabamba</vt:lpstr>
      <vt:lpstr>Cuenca Rio Chico</vt:lpstr>
      <vt:lpstr>Cuenca Rio Chico FINAL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</dc:creator>
  <cp:lastModifiedBy>Yeferson</cp:lastModifiedBy>
  <dcterms:created xsi:type="dcterms:W3CDTF">2014-02-03T23:35:46Z</dcterms:created>
  <dcterms:modified xsi:type="dcterms:W3CDTF">2014-08-01T15:26:00Z</dcterms:modified>
</cp:coreProperties>
</file>