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\Desktop\New folder\2020\3 Mar\31 Mar 20\"/>
    </mc:Choice>
  </mc:AlternateContent>
  <bookViews>
    <workbookView xWindow="0" yWindow="0" windowWidth="28800" windowHeight="13020" tabRatio="552"/>
  </bookViews>
  <sheets>
    <sheet name="SLS MD" sheetId="2" r:id="rId1"/>
    <sheet name="DAILY" sheetId="30" r:id="rId2"/>
    <sheet name="SLS STORE" sheetId="23" r:id="rId3"/>
    <sheet name="DATA" sheetId="43" state="hidden" r:id="rId4"/>
    <sheet name="Sheet2" sheetId="45" state="hidden" r:id="rId5"/>
    <sheet name="Sheet1" sheetId="44" state="hidden" r:id="rId6"/>
  </sheets>
  <definedNames>
    <definedName name="_xlnm._FilterDatabase" localSheetId="2" hidden="1">'SLS STORE'!$A$4:$O$88</definedName>
    <definedName name="_xlnm.Database" localSheetId="1">#REF!</definedName>
    <definedName name="_xlnm.Database" localSheetId="2">#REF!</definedName>
    <definedName name="_xlnm.Database">#REF!</definedName>
    <definedName name="_xlnm.Print_Area" localSheetId="0">'SLS MD'!$A$1:$Q$62</definedName>
    <definedName name="_xlnm.Print_Area" localSheetId="2">'SLS STORE'!$A$1:$O$90</definedName>
    <definedName name="_xlnm.Print_Titles" localSheetId="1">DAILY!$A:$C</definedName>
    <definedName name="_xlnm.Print_Titles" localSheetId="2">'SLS STORE'!$A:$B,'SLS STORE'!$1:$4</definedName>
    <definedName name="RRRRRRRRRR" localSheetId="1">#REF!</definedName>
  </definedNames>
  <calcPr calcId="152511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48" i="2" l="1"/>
  <c r="E47" i="2"/>
  <c r="I34" i="30"/>
  <c r="J34" i="30"/>
  <c r="K34" i="30"/>
  <c r="L34" i="30"/>
  <c r="I35" i="30"/>
  <c r="J35" i="30"/>
  <c r="K35" i="30"/>
  <c r="L35" i="30"/>
  <c r="I36" i="30"/>
  <c r="J36" i="30"/>
  <c r="K36" i="30"/>
  <c r="L36" i="30"/>
  <c r="K37" i="30"/>
  <c r="L37" i="30" s="1"/>
  <c r="I86" i="23" l="1"/>
  <c r="G86" i="23"/>
  <c r="F86" i="23"/>
  <c r="D86" i="23"/>
  <c r="C86" i="23"/>
  <c r="P86" i="23" l="1"/>
  <c r="AE16" i="43" l="1"/>
  <c r="K86" i="23" l="1"/>
  <c r="E86" i="23" l="1"/>
  <c r="H86" i="23"/>
  <c r="F48" i="2" l="1"/>
  <c r="F47" i="2"/>
  <c r="D3" i="45" l="1"/>
  <c r="D2" i="45"/>
  <c r="K17" i="44" l="1"/>
  <c r="L17" i="44"/>
  <c r="M17" i="44"/>
  <c r="K18" i="44"/>
  <c r="L18" i="44"/>
  <c r="M18" i="44"/>
  <c r="K19" i="44"/>
  <c r="L19" i="44"/>
  <c r="M19" i="44"/>
  <c r="K20" i="44"/>
  <c r="L20" i="44"/>
  <c r="M20" i="44"/>
  <c r="K21" i="44"/>
  <c r="L21" i="44"/>
  <c r="M21" i="44"/>
  <c r="K22" i="44"/>
  <c r="L22" i="44"/>
  <c r="M22" i="44"/>
  <c r="K23" i="44"/>
  <c r="L23" i="44"/>
  <c r="M23" i="44"/>
  <c r="K24" i="44"/>
  <c r="L24" i="44"/>
  <c r="M24" i="44"/>
  <c r="K25" i="44"/>
  <c r="L25" i="44"/>
  <c r="M25" i="44"/>
  <c r="K26" i="44"/>
  <c r="L26" i="44"/>
  <c r="M26" i="44"/>
  <c r="K27" i="44"/>
  <c r="L27" i="44"/>
  <c r="M27" i="44"/>
  <c r="K28" i="44"/>
  <c r="L28" i="44"/>
  <c r="M28" i="44"/>
  <c r="K29" i="44"/>
  <c r="L29" i="44"/>
  <c r="M29" i="44"/>
  <c r="K30" i="44"/>
  <c r="L30" i="44"/>
  <c r="M30" i="44"/>
  <c r="K31" i="44"/>
  <c r="L31" i="44"/>
  <c r="M31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K39" i="44"/>
  <c r="L39" i="44"/>
  <c r="M39" i="44"/>
  <c r="K40" i="44"/>
  <c r="L40" i="44"/>
  <c r="M40" i="44"/>
  <c r="K41" i="44"/>
  <c r="L41" i="44"/>
  <c r="M41" i="44"/>
  <c r="K42" i="44"/>
  <c r="L42" i="44"/>
  <c r="M42" i="44"/>
  <c r="K43" i="44"/>
  <c r="L43" i="44"/>
  <c r="M43" i="44"/>
  <c r="K44" i="44"/>
  <c r="L44" i="44"/>
  <c r="M44" i="44"/>
  <c r="K45" i="44"/>
  <c r="L45" i="44"/>
  <c r="M45" i="44"/>
  <c r="K46" i="44"/>
  <c r="L46" i="44"/>
  <c r="M46" i="44"/>
  <c r="K47" i="44"/>
  <c r="L47" i="44"/>
  <c r="M47" i="44"/>
  <c r="K48" i="44"/>
  <c r="L48" i="44"/>
  <c r="M48" i="44"/>
  <c r="K49" i="44"/>
  <c r="L49" i="44"/>
  <c r="M49" i="44"/>
  <c r="K50" i="44"/>
  <c r="L50" i="44"/>
  <c r="M50" i="44"/>
  <c r="K51" i="44"/>
  <c r="L51" i="44"/>
  <c r="M51" i="44"/>
  <c r="K52" i="44"/>
  <c r="L52" i="44"/>
  <c r="M52" i="44"/>
  <c r="K53" i="44"/>
  <c r="L53" i="44"/>
  <c r="M53" i="44"/>
  <c r="K54" i="44"/>
  <c r="L54" i="44"/>
  <c r="M54" i="44"/>
  <c r="K55" i="44"/>
  <c r="L55" i="44"/>
  <c r="M55" i="44"/>
  <c r="K56" i="44"/>
  <c r="L56" i="44"/>
  <c r="M56" i="44"/>
  <c r="K57" i="44"/>
  <c r="L57" i="44"/>
  <c r="M57" i="44"/>
  <c r="K58" i="44"/>
  <c r="L58" i="44"/>
  <c r="M58" i="44"/>
  <c r="K59" i="44"/>
  <c r="L59" i="44"/>
  <c r="M59" i="44"/>
  <c r="K60" i="44"/>
  <c r="L60" i="44"/>
  <c r="M60" i="44"/>
  <c r="K61" i="44"/>
  <c r="L61" i="44"/>
  <c r="M61" i="44"/>
  <c r="K62" i="44"/>
  <c r="L62" i="44"/>
  <c r="M62" i="44"/>
  <c r="K63" i="44"/>
  <c r="L63" i="44"/>
  <c r="M63" i="44"/>
  <c r="K64" i="44"/>
  <c r="L64" i="44"/>
  <c r="M64" i="44"/>
  <c r="K65" i="44"/>
  <c r="L65" i="44"/>
  <c r="M65" i="44"/>
  <c r="K66" i="44"/>
  <c r="L66" i="44"/>
  <c r="M66" i="44"/>
  <c r="K67" i="44"/>
  <c r="L67" i="44"/>
  <c r="M67" i="44"/>
  <c r="K68" i="44"/>
  <c r="L68" i="44"/>
  <c r="M68" i="44"/>
  <c r="K69" i="44"/>
  <c r="L69" i="44"/>
  <c r="M69" i="44"/>
  <c r="K70" i="44"/>
  <c r="L70" i="44"/>
  <c r="M70" i="44"/>
  <c r="K71" i="44"/>
  <c r="L71" i="44"/>
  <c r="M71" i="44"/>
  <c r="K72" i="44"/>
  <c r="L72" i="44"/>
  <c r="M72" i="44"/>
  <c r="K73" i="44"/>
  <c r="L73" i="44"/>
  <c r="M73" i="44"/>
  <c r="K74" i="44"/>
  <c r="L74" i="44"/>
  <c r="M74" i="44"/>
  <c r="K75" i="44"/>
  <c r="L75" i="44"/>
  <c r="M75" i="44"/>
  <c r="K76" i="44"/>
  <c r="L76" i="44"/>
  <c r="M76" i="44"/>
  <c r="K77" i="44"/>
  <c r="L77" i="44"/>
  <c r="M77" i="44"/>
  <c r="K78" i="44"/>
  <c r="L78" i="44"/>
  <c r="M78" i="44"/>
  <c r="K79" i="44"/>
  <c r="L79" i="44"/>
  <c r="M79" i="44"/>
  <c r="K80" i="44"/>
  <c r="L80" i="44"/>
  <c r="M80" i="44"/>
  <c r="K81" i="44"/>
  <c r="L81" i="44"/>
  <c r="M81" i="44"/>
  <c r="K82" i="44"/>
  <c r="L82" i="44"/>
  <c r="M82" i="44"/>
  <c r="K83" i="44"/>
  <c r="L83" i="44"/>
  <c r="M83" i="44"/>
  <c r="K84" i="44"/>
  <c r="L84" i="44"/>
  <c r="M84" i="44"/>
  <c r="K85" i="44"/>
  <c r="L85" i="44"/>
  <c r="M85" i="44"/>
  <c r="K86" i="44"/>
  <c r="L86" i="44"/>
  <c r="M86" i="44"/>
  <c r="K87" i="44"/>
  <c r="L87" i="44"/>
  <c r="M87" i="44"/>
  <c r="K88" i="44"/>
  <c r="L88" i="44"/>
  <c r="M88" i="44"/>
  <c r="K89" i="44"/>
  <c r="L89" i="44"/>
  <c r="M89" i="44"/>
  <c r="K90" i="44"/>
  <c r="L90" i="44"/>
  <c r="M90" i="44"/>
  <c r="K91" i="44"/>
  <c r="L91" i="44"/>
  <c r="M91" i="44"/>
  <c r="K92" i="44"/>
  <c r="L92" i="44"/>
  <c r="M92" i="44"/>
  <c r="K93" i="44"/>
  <c r="L93" i="44"/>
  <c r="M93" i="44"/>
  <c r="K94" i="44"/>
  <c r="L94" i="44"/>
  <c r="M94" i="44"/>
  <c r="K95" i="44"/>
  <c r="L95" i="44"/>
  <c r="M95" i="44"/>
  <c r="K96" i="44"/>
  <c r="L96" i="44"/>
  <c r="M96" i="44"/>
  <c r="K97" i="44"/>
  <c r="L97" i="44"/>
  <c r="M97" i="44"/>
  <c r="K98" i="44"/>
  <c r="L98" i="44"/>
  <c r="M98" i="44"/>
  <c r="K99" i="44"/>
  <c r="L99" i="44"/>
  <c r="M99" i="44"/>
  <c r="K100" i="44"/>
  <c r="L100" i="44"/>
  <c r="M100" i="44"/>
  <c r="K101" i="44"/>
  <c r="L101" i="44"/>
  <c r="M101" i="44"/>
  <c r="K102" i="44"/>
  <c r="L102" i="44"/>
  <c r="M102" i="44"/>
  <c r="L16" i="44"/>
  <c r="M16" i="44"/>
  <c r="K16" i="44"/>
  <c r="K3" i="44"/>
  <c r="L3" i="44"/>
  <c r="M3" i="44"/>
  <c r="K4" i="44"/>
  <c r="L4" i="44"/>
  <c r="M4" i="44"/>
  <c r="K5" i="44"/>
  <c r="L5" i="44"/>
  <c r="M5" i="44"/>
  <c r="K6" i="44"/>
  <c r="L6" i="44"/>
  <c r="M6" i="44"/>
  <c r="K7" i="44"/>
  <c r="L7" i="44"/>
  <c r="M7" i="44"/>
  <c r="K8" i="44"/>
  <c r="L8" i="44"/>
  <c r="M8" i="44"/>
  <c r="K9" i="44"/>
  <c r="L9" i="44"/>
  <c r="M9" i="44"/>
  <c r="K10" i="44"/>
  <c r="L10" i="44"/>
  <c r="M10" i="44"/>
  <c r="K11" i="44"/>
  <c r="L11" i="44"/>
  <c r="M11" i="44"/>
  <c r="L2" i="44"/>
  <c r="M2" i="44"/>
  <c r="K2" i="44"/>
  <c r="G48" i="2" l="1"/>
  <c r="G47" i="2"/>
  <c r="H102" i="44" l="1"/>
  <c r="H101" i="44"/>
  <c r="H100" i="44"/>
  <c r="H99" i="44"/>
  <c r="H98" i="44"/>
  <c r="H97" i="44"/>
  <c r="H96" i="44"/>
  <c r="H95" i="44"/>
  <c r="H94" i="44"/>
  <c r="H93" i="44"/>
  <c r="H92" i="44"/>
  <c r="H91" i="44"/>
  <c r="H90" i="44"/>
  <c r="H89" i="44"/>
  <c r="H88" i="44"/>
  <c r="H87" i="44"/>
  <c r="H86" i="44"/>
  <c r="H85" i="44"/>
  <c r="H84" i="44"/>
  <c r="H83" i="44"/>
  <c r="H82" i="44"/>
  <c r="H81" i="44"/>
  <c r="H80" i="44"/>
  <c r="H79" i="44"/>
  <c r="H78" i="44"/>
  <c r="H77" i="44"/>
  <c r="H76" i="44"/>
  <c r="H75" i="44"/>
  <c r="H74" i="44"/>
  <c r="H73" i="44"/>
  <c r="H72" i="44"/>
  <c r="H71" i="44"/>
  <c r="H70" i="44"/>
  <c r="H69" i="44"/>
  <c r="H68" i="44"/>
  <c r="H67" i="44"/>
  <c r="H66" i="44"/>
  <c r="H65" i="44"/>
  <c r="H64" i="44"/>
  <c r="H63" i="44"/>
  <c r="H62" i="44"/>
  <c r="H61" i="44"/>
  <c r="H60" i="44"/>
  <c r="H59" i="44"/>
  <c r="H58" i="44"/>
  <c r="H57" i="44"/>
  <c r="H56" i="44"/>
  <c r="H55" i="44"/>
  <c r="H54" i="44"/>
  <c r="H53" i="44"/>
  <c r="H52" i="44"/>
  <c r="H51" i="44"/>
  <c r="H50" i="44"/>
  <c r="H49" i="44"/>
  <c r="H48" i="44"/>
  <c r="H47" i="44"/>
  <c r="H46" i="44"/>
  <c r="H45" i="44"/>
  <c r="H44" i="44"/>
  <c r="H43" i="44"/>
  <c r="H42" i="44"/>
  <c r="H41" i="44"/>
  <c r="H40" i="44"/>
  <c r="H39" i="44"/>
  <c r="H38" i="44"/>
  <c r="H37" i="44"/>
  <c r="H36" i="44"/>
  <c r="H35" i="44"/>
  <c r="H34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G101" i="44"/>
  <c r="G100" i="44"/>
  <c r="G99" i="44"/>
  <c r="G98" i="44"/>
  <c r="G97" i="44"/>
  <c r="G96" i="44"/>
  <c r="G95" i="44"/>
  <c r="G94" i="44"/>
  <c r="G93" i="44"/>
  <c r="G92" i="44"/>
  <c r="G91" i="44"/>
  <c r="G90" i="44"/>
  <c r="G89" i="44"/>
  <c r="G88" i="44"/>
  <c r="G87" i="44"/>
  <c r="G86" i="44"/>
  <c r="G85" i="44"/>
  <c r="G84" i="44"/>
  <c r="G83" i="44"/>
  <c r="G82" i="44"/>
  <c r="G81" i="44"/>
  <c r="G80" i="44"/>
  <c r="G79" i="44"/>
  <c r="G78" i="44"/>
  <c r="G77" i="44"/>
  <c r="G76" i="44"/>
  <c r="G75" i="44"/>
  <c r="G74" i="44"/>
  <c r="G73" i="44"/>
  <c r="G72" i="44"/>
  <c r="G71" i="44"/>
  <c r="G70" i="44"/>
  <c r="G69" i="44"/>
  <c r="G68" i="44"/>
  <c r="G67" i="44"/>
  <c r="G66" i="44"/>
  <c r="G65" i="44"/>
  <c r="G64" i="44"/>
  <c r="G63" i="44"/>
  <c r="G62" i="44"/>
  <c r="G61" i="44"/>
  <c r="G60" i="44"/>
  <c r="G59" i="44"/>
  <c r="G58" i="44"/>
  <c r="G57" i="44"/>
  <c r="G56" i="44"/>
  <c r="G55" i="44"/>
  <c r="G54" i="44"/>
  <c r="G53" i="44"/>
  <c r="G52" i="44"/>
  <c r="G51" i="44"/>
  <c r="G50" i="44"/>
  <c r="G49" i="44"/>
  <c r="G48" i="44"/>
  <c r="G47" i="44"/>
  <c r="G46" i="44"/>
  <c r="G45" i="44"/>
  <c r="G44" i="44"/>
  <c r="G43" i="44"/>
  <c r="G42" i="44"/>
  <c r="G41" i="44"/>
  <c r="G40" i="44"/>
  <c r="G39" i="44"/>
  <c r="G38" i="44"/>
  <c r="G37" i="44"/>
  <c r="G36" i="44"/>
  <c r="G35" i="44"/>
  <c r="G34" i="44"/>
  <c r="G33" i="44"/>
  <c r="G32" i="44"/>
  <c r="G31" i="44"/>
  <c r="G30" i="44"/>
  <c r="G29" i="44"/>
  <c r="G28" i="44"/>
  <c r="G27" i="44"/>
  <c r="G26" i="44"/>
  <c r="G25" i="44"/>
  <c r="G24" i="44"/>
  <c r="G23" i="44"/>
  <c r="G22" i="44"/>
  <c r="G21" i="44"/>
  <c r="G20" i="44"/>
  <c r="G19" i="44"/>
  <c r="G18" i="44"/>
  <c r="G17" i="44"/>
  <c r="G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6" i="44"/>
  <c r="E102" i="44"/>
  <c r="D102" i="44"/>
  <c r="C102" i="44"/>
  <c r="H10" i="44"/>
  <c r="H9" i="44"/>
  <c r="H8" i="44"/>
  <c r="H7" i="44"/>
  <c r="H6" i="44"/>
  <c r="H5" i="44"/>
  <c r="H4" i="44"/>
  <c r="H3" i="44"/>
  <c r="H2" i="44"/>
  <c r="G10" i="44"/>
  <c r="G9" i="44"/>
  <c r="G8" i="44"/>
  <c r="G7" i="44"/>
  <c r="G6" i="44"/>
  <c r="G5" i="44"/>
  <c r="G4" i="44"/>
  <c r="G3" i="44"/>
  <c r="G2" i="44"/>
  <c r="F3" i="44"/>
  <c r="F4" i="44"/>
  <c r="F5" i="44"/>
  <c r="F6" i="44"/>
  <c r="F7" i="44"/>
  <c r="F8" i="44"/>
  <c r="F9" i="44"/>
  <c r="F10" i="44"/>
  <c r="F2" i="44"/>
  <c r="E11" i="44"/>
  <c r="D11" i="44" l="1"/>
  <c r="C11" i="44"/>
  <c r="B11" i="44"/>
  <c r="H11" i="44" s="1"/>
  <c r="G11" i="44" l="1"/>
  <c r="B12" i="44"/>
  <c r="F11" i="44"/>
  <c r="B102" i="44"/>
  <c r="F102" i="44" l="1"/>
  <c r="F87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D5" i="2" l="1"/>
  <c r="E5" i="2"/>
  <c r="L5" i="2" s="1"/>
  <c r="G5" i="2"/>
  <c r="H5" i="2"/>
  <c r="P5" i="2"/>
  <c r="D6" i="2"/>
  <c r="E6" i="2"/>
  <c r="L6" i="2" s="1"/>
  <c r="G6" i="2"/>
  <c r="H6" i="2"/>
  <c r="P6" i="2"/>
  <c r="D7" i="2"/>
  <c r="E7" i="2"/>
  <c r="L7" i="2" s="1"/>
  <c r="G7" i="2"/>
  <c r="H7" i="2"/>
  <c r="P7" i="2"/>
  <c r="D8" i="2"/>
  <c r="E8" i="2"/>
  <c r="L8" i="2" s="1"/>
  <c r="G8" i="2"/>
  <c r="H8" i="2"/>
  <c r="P8" i="2"/>
  <c r="D9" i="2"/>
  <c r="E9" i="2"/>
  <c r="L9" i="2" s="1"/>
  <c r="G9" i="2"/>
  <c r="H9" i="2"/>
  <c r="P9" i="2"/>
  <c r="J10" i="2"/>
  <c r="P10" i="2"/>
  <c r="D11" i="2"/>
  <c r="E11" i="2"/>
  <c r="L11" i="2" s="1"/>
  <c r="G11" i="2"/>
  <c r="H11" i="2"/>
  <c r="P11" i="2"/>
  <c r="D12" i="2"/>
  <c r="E12" i="2"/>
  <c r="L12" i="2" s="1"/>
  <c r="G12" i="2"/>
  <c r="H12" i="2"/>
  <c r="P12" i="2"/>
  <c r="D13" i="2"/>
  <c r="E13" i="2"/>
  <c r="L13" i="2" s="1"/>
  <c r="G13" i="2"/>
  <c r="H13" i="2"/>
  <c r="P13" i="2"/>
  <c r="J14" i="2"/>
  <c r="P14" i="2"/>
  <c r="D15" i="2"/>
  <c r="D16" i="2" s="1"/>
  <c r="E15" i="2"/>
  <c r="L15" i="2" s="1"/>
  <c r="G15" i="2"/>
  <c r="H15" i="2"/>
  <c r="P15" i="2"/>
  <c r="J16" i="2"/>
  <c r="P16" i="2"/>
  <c r="G17" i="2"/>
  <c r="H17" i="2"/>
  <c r="M15" i="2" l="1"/>
  <c r="O15" i="2" s="1"/>
  <c r="M12" i="2"/>
  <c r="O12" i="2" s="1"/>
  <c r="M9" i="2"/>
  <c r="M7" i="2"/>
  <c r="M5" i="2"/>
  <c r="N5" i="2" s="1"/>
  <c r="M13" i="2"/>
  <c r="M8" i="2"/>
  <c r="M6" i="2"/>
  <c r="M11" i="2"/>
  <c r="K5" i="2"/>
  <c r="J17" i="2"/>
  <c r="K8" i="2"/>
  <c r="D14" i="2"/>
  <c r="K7" i="2"/>
  <c r="K6" i="2"/>
  <c r="F13" i="2"/>
  <c r="K15" i="2"/>
  <c r="F12" i="2"/>
  <c r="K9" i="2"/>
  <c r="E16" i="2"/>
  <c r="F16" i="2" s="1"/>
  <c r="F15" i="2"/>
  <c r="K12" i="2"/>
  <c r="F11" i="2"/>
  <c r="E10" i="2"/>
  <c r="K10" i="2" s="1"/>
  <c r="F9" i="2"/>
  <c r="F7" i="2"/>
  <c r="F5" i="2"/>
  <c r="D10" i="2"/>
  <c r="K13" i="2"/>
  <c r="K11" i="2"/>
  <c r="F8" i="2"/>
  <c r="F6" i="2"/>
  <c r="E14" i="2"/>
  <c r="N7" i="2" l="1"/>
  <c r="O7" i="2"/>
  <c r="L16" i="2"/>
  <c r="O5" i="2"/>
  <c r="N9" i="2"/>
  <c r="O9" i="2"/>
  <c r="M16" i="2"/>
  <c r="O16" i="2" s="1"/>
  <c r="N15" i="2"/>
  <c r="K16" i="2"/>
  <c r="F10" i="2"/>
  <c r="N12" i="2"/>
  <c r="D17" i="2"/>
  <c r="L10" i="2"/>
  <c r="N13" i="2"/>
  <c r="O13" i="2"/>
  <c r="N8" i="2"/>
  <c r="O8" i="2"/>
  <c r="L14" i="2"/>
  <c r="F14" i="2"/>
  <c r="K14" i="2"/>
  <c r="E17" i="2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7" i="23"/>
  <c r="G5" i="23"/>
  <c r="N16" i="2" l="1"/>
  <c r="L17" i="2"/>
  <c r="F17" i="2"/>
  <c r="K17" i="2"/>
  <c r="N6" i="2"/>
  <c r="O6" i="2"/>
  <c r="M10" i="2"/>
  <c r="N11" i="2"/>
  <c r="O11" i="2"/>
  <c r="M14" i="2"/>
  <c r="P32" i="23"/>
  <c r="P33" i="23"/>
  <c r="I32" i="23"/>
  <c r="I33" i="23"/>
  <c r="I34" i="23"/>
  <c r="D31" i="23"/>
  <c r="D32" i="23"/>
  <c r="C31" i="23"/>
  <c r="C32" i="23"/>
  <c r="E31" i="23" l="1"/>
  <c r="E32" i="23"/>
  <c r="K32" i="23"/>
  <c r="O10" i="2"/>
  <c r="N10" i="2"/>
  <c r="N14" i="2"/>
  <c r="O14" i="2"/>
  <c r="M17" i="2"/>
  <c r="H32" i="23"/>
  <c r="O17" i="2" l="1"/>
  <c r="N17" i="2"/>
  <c r="F7" i="30"/>
  <c r="F8" i="30" s="1"/>
  <c r="F9" i="30" s="1"/>
  <c r="F10" i="30" s="1"/>
  <c r="F11" i="30" s="1"/>
  <c r="F12" i="30" s="1"/>
  <c r="F13" i="30" s="1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l="1"/>
  <c r="C2" i="23"/>
  <c r="F30" i="30" l="1"/>
  <c r="I87" i="23"/>
  <c r="D85" i="23"/>
  <c r="D87" i="23"/>
  <c r="C85" i="23"/>
  <c r="C87" i="23"/>
  <c r="F31" i="30" l="1"/>
  <c r="E87" i="23"/>
  <c r="E85" i="23"/>
  <c r="H47" i="2"/>
  <c r="F32" i="30" l="1"/>
  <c r="H87" i="23"/>
  <c r="F33" i="30" l="1"/>
  <c r="J7" i="30"/>
  <c r="J8" i="30" s="1"/>
  <c r="J9" i="30" s="1"/>
  <c r="J10" i="30" s="1"/>
  <c r="K10" i="30" l="1"/>
  <c r="L10" i="30" s="1"/>
  <c r="J11" i="30"/>
  <c r="K9" i="30"/>
  <c r="L9" i="30" s="1"/>
  <c r="K8" i="30"/>
  <c r="L8" i="30" s="1"/>
  <c r="F34" i="30"/>
  <c r="F35" i="30" s="1"/>
  <c r="F36" i="30" s="1"/>
  <c r="P87" i="23"/>
  <c r="K11" i="30" l="1"/>
  <c r="L11" i="30" s="1"/>
  <c r="J12" i="30"/>
  <c r="J13" i="30" s="1"/>
  <c r="F37" i="30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J14" i="30" l="1"/>
  <c r="K13" i="30"/>
  <c r="L13" i="30" s="1"/>
  <c r="K12" i="30"/>
  <c r="L12" i="30" s="1"/>
  <c r="K34" i="23"/>
  <c r="K33" i="23"/>
  <c r="P73" i="23"/>
  <c r="J15" i="30" l="1"/>
  <c r="K14" i="30"/>
  <c r="L14" i="30" s="1"/>
  <c r="I73" i="23"/>
  <c r="C73" i="23"/>
  <c r="E73" i="23" s="1"/>
  <c r="J16" i="30" l="1"/>
  <c r="J17" i="30" s="1"/>
  <c r="K15" i="30"/>
  <c r="L15" i="30" s="1"/>
  <c r="G102" i="44"/>
  <c r="H73" i="23"/>
  <c r="J18" i="30" l="1"/>
  <c r="J19" i="30" s="1"/>
  <c r="K17" i="30"/>
  <c r="L17" i="30" s="1"/>
  <c r="K16" i="30"/>
  <c r="L16" i="30" s="1"/>
  <c r="P12" i="23"/>
  <c r="C12" i="23"/>
  <c r="E12" i="23" s="1"/>
  <c r="I12" i="23"/>
  <c r="K19" i="30" l="1"/>
  <c r="L19" i="30" s="1"/>
  <c r="J20" i="30"/>
  <c r="K18" i="30"/>
  <c r="L18" i="30" s="1"/>
  <c r="H12" i="23"/>
  <c r="K12" i="23"/>
  <c r="K20" i="30" l="1"/>
  <c r="L20" i="30" s="1"/>
  <c r="J21" i="30"/>
  <c r="G88" i="23"/>
  <c r="K21" i="30" l="1"/>
  <c r="L21" i="30" s="1"/>
  <c r="J22" i="30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13" i="23"/>
  <c r="P14" i="23"/>
  <c r="P15" i="23"/>
  <c r="P16" i="23"/>
  <c r="P17" i="23"/>
  <c r="P18" i="23"/>
  <c r="P6" i="23"/>
  <c r="P7" i="23"/>
  <c r="P8" i="23"/>
  <c r="P9" i="23"/>
  <c r="P10" i="23"/>
  <c r="P11" i="23"/>
  <c r="P5" i="23"/>
  <c r="K22" i="30" l="1"/>
  <c r="L22" i="30" s="1"/>
  <c r="J23" i="30"/>
  <c r="J24" i="30" s="1"/>
  <c r="K7" i="30"/>
  <c r="L7" i="30" s="1"/>
  <c r="B2" i="23"/>
  <c r="L86" i="23" s="1"/>
  <c r="J25" i="30" l="1"/>
  <c r="K24" i="30"/>
  <c r="L24" i="30" s="1"/>
  <c r="K23" i="30"/>
  <c r="L23" i="30" s="1"/>
  <c r="N86" i="23"/>
  <c r="M86" i="23"/>
  <c r="L32" i="23"/>
  <c r="N32" i="23" s="1"/>
  <c r="L31" i="23"/>
  <c r="L87" i="23"/>
  <c r="L85" i="23"/>
  <c r="L6" i="23"/>
  <c r="N6" i="23" s="1"/>
  <c r="L10" i="23"/>
  <c r="N10" i="23" s="1"/>
  <c r="L14" i="23"/>
  <c r="N14" i="23" s="1"/>
  <c r="L18" i="23"/>
  <c r="N18" i="23" s="1"/>
  <c r="L22" i="23"/>
  <c r="N22" i="23" s="1"/>
  <c r="L26" i="23"/>
  <c r="N26" i="23" s="1"/>
  <c r="L30" i="23"/>
  <c r="N30" i="23" s="1"/>
  <c r="L36" i="23"/>
  <c r="N36" i="23" s="1"/>
  <c r="L40" i="23"/>
  <c r="N40" i="23" s="1"/>
  <c r="L44" i="23"/>
  <c r="N44" i="23" s="1"/>
  <c r="L48" i="23"/>
  <c r="N48" i="23" s="1"/>
  <c r="L51" i="23"/>
  <c r="N51" i="23" s="1"/>
  <c r="L55" i="23"/>
  <c r="N55" i="23" s="1"/>
  <c r="L59" i="23"/>
  <c r="N59" i="23" s="1"/>
  <c r="L63" i="23"/>
  <c r="N63" i="23" s="1"/>
  <c r="L67" i="23"/>
  <c r="N67" i="23" s="1"/>
  <c r="L71" i="23"/>
  <c r="N71" i="23" s="1"/>
  <c r="L75" i="23"/>
  <c r="N75" i="23" s="1"/>
  <c r="L79" i="23"/>
  <c r="N79" i="23" s="1"/>
  <c r="L83" i="23"/>
  <c r="N83" i="23" s="1"/>
  <c r="L7" i="23"/>
  <c r="N7" i="23" s="1"/>
  <c r="L11" i="23"/>
  <c r="N11" i="23" s="1"/>
  <c r="L15" i="23"/>
  <c r="N15" i="23" s="1"/>
  <c r="L19" i="23"/>
  <c r="N19" i="23" s="1"/>
  <c r="L23" i="23"/>
  <c r="N23" i="23" s="1"/>
  <c r="L27" i="23"/>
  <c r="N27" i="23" s="1"/>
  <c r="L33" i="23"/>
  <c r="N33" i="23" s="1"/>
  <c r="L37" i="23"/>
  <c r="N37" i="23" s="1"/>
  <c r="L41" i="23"/>
  <c r="N41" i="23" s="1"/>
  <c r="L45" i="23"/>
  <c r="N45" i="23" s="1"/>
  <c r="L49" i="23"/>
  <c r="N49" i="23" s="1"/>
  <c r="L52" i="23"/>
  <c r="N52" i="23" s="1"/>
  <c r="L56" i="23"/>
  <c r="N56" i="23" s="1"/>
  <c r="L60" i="23"/>
  <c r="N60" i="23" s="1"/>
  <c r="L64" i="23"/>
  <c r="N64" i="23" s="1"/>
  <c r="L68" i="23"/>
  <c r="N68" i="23" s="1"/>
  <c r="L72" i="23"/>
  <c r="N72" i="23" s="1"/>
  <c r="L76" i="23"/>
  <c r="N76" i="23" s="1"/>
  <c r="L80" i="23"/>
  <c r="N80" i="23" s="1"/>
  <c r="L84" i="23"/>
  <c r="N84" i="23" s="1"/>
  <c r="L8" i="23"/>
  <c r="N8" i="23" s="1"/>
  <c r="L12" i="23"/>
  <c r="N12" i="23" s="1"/>
  <c r="L16" i="23"/>
  <c r="N16" i="23" s="1"/>
  <c r="L20" i="23"/>
  <c r="N20" i="23" s="1"/>
  <c r="L24" i="23"/>
  <c r="N24" i="23" s="1"/>
  <c r="L28" i="23"/>
  <c r="N28" i="23" s="1"/>
  <c r="L34" i="23"/>
  <c r="N34" i="23" s="1"/>
  <c r="L38" i="23"/>
  <c r="N38" i="23" s="1"/>
  <c r="L42" i="23"/>
  <c r="N42" i="23" s="1"/>
  <c r="L46" i="23"/>
  <c r="N46" i="23" s="1"/>
  <c r="L53" i="23"/>
  <c r="N53" i="23" s="1"/>
  <c r="L57" i="23"/>
  <c r="N57" i="23" s="1"/>
  <c r="L61" i="23"/>
  <c r="N61" i="23" s="1"/>
  <c r="L65" i="23"/>
  <c r="N65" i="23" s="1"/>
  <c r="L69" i="23"/>
  <c r="N69" i="23" s="1"/>
  <c r="L73" i="23"/>
  <c r="L77" i="23"/>
  <c r="N77" i="23" s="1"/>
  <c r="L81" i="23"/>
  <c r="N81" i="23" s="1"/>
  <c r="L5" i="23"/>
  <c r="N5" i="23" s="1"/>
  <c r="L9" i="23"/>
  <c r="N9" i="23" s="1"/>
  <c r="L13" i="23"/>
  <c r="N13" i="23" s="1"/>
  <c r="L17" i="23"/>
  <c r="N17" i="23" s="1"/>
  <c r="L21" i="23"/>
  <c r="N21" i="23" s="1"/>
  <c r="L25" i="23"/>
  <c r="N25" i="23" s="1"/>
  <c r="L29" i="23"/>
  <c r="N29" i="23" s="1"/>
  <c r="L35" i="23"/>
  <c r="N35" i="23" s="1"/>
  <c r="L39" i="23"/>
  <c r="N39" i="23" s="1"/>
  <c r="L43" i="23"/>
  <c r="N43" i="23" s="1"/>
  <c r="L47" i="23"/>
  <c r="N47" i="23" s="1"/>
  <c r="L50" i="23"/>
  <c r="N50" i="23" s="1"/>
  <c r="L54" i="23"/>
  <c r="N54" i="23" s="1"/>
  <c r="L58" i="23"/>
  <c r="N58" i="23" s="1"/>
  <c r="L62" i="23"/>
  <c r="N62" i="23" s="1"/>
  <c r="L66" i="23"/>
  <c r="N66" i="23" s="1"/>
  <c r="L70" i="23"/>
  <c r="N70" i="23" s="1"/>
  <c r="L74" i="23"/>
  <c r="N74" i="23" s="1"/>
  <c r="L78" i="23"/>
  <c r="N78" i="23" s="1"/>
  <c r="L82" i="23"/>
  <c r="N82" i="23" s="1"/>
  <c r="B45" i="30"/>
  <c r="J26" i="30" l="1"/>
  <c r="J27" i="30" s="1"/>
  <c r="J28" i="30" s="1"/>
  <c r="K25" i="30"/>
  <c r="L25" i="30" s="1"/>
  <c r="M73" i="23"/>
  <c r="N73" i="23"/>
  <c r="M31" i="23"/>
  <c r="N31" i="23"/>
  <c r="M85" i="23"/>
  <c r="N85" i="23"/>
  <c r="M87" i="23"/>
  <c r="N87" i="23"/>
  <c r="M12" i="23"/>
  <c r="M32" i="23"/>
  <c r="K28" i="30" l="1"/>
  <c r="L28" i="30" s="1"/>
  <c r="J29" i="30"/>
  <c r="K27" i="30"/>
  <c r="L27" i="30" s="1"/>
  <c r="K26" i="30"/>
  <c r="L26" i="30" s="1"/>
  <c r="F88" i="23"/>
  <c r="K29" i="30" l="1"/>
  <c r="L29" i="30" s="1"/>
  <c r="J30" i="30"/>
  <c r="I72" i="23"/>
  <c r="C72" i="23"/>
  <c r="K30" i="30" l="1"/>
  <c r="L30" i="30" s="1"/>
  <c r="J31" i="30"/>
  <c r="E72" i="23"/>
  <c r="M72" i="23"/>
  <c r="H72" i="23"/>
  <c r="K31" i="30" l="1"/>
  <c r="L31" i="30" s="1"/>
  <c r="J32" i="30"/>
  <c r="C5" i="23"/>
  <c r="C6" i="23"/>
  <c r="C7" i="23"/>
  <c r="C8" i="23"/>
  <c r="C9" i="23"/>
  <c r="C10" i="23"/>
  <c r="C11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4" i="23"/>
  <c r="C75" i="23"/>
  <c r="C76" i="23"/>
  <c r="C77" i="23"/>
  <c r="C78" i="23"/>
  <c r="C79" i="23"/>
  <c r="C80" i="23"/>
  <c r="C81" i="23"/>
  <c r="C82" i="23"/>
  <c r="C83" i="23"/>
  <c r="C84" i="23"/>
  <c r="I88" i="23"/>
  <c r="I6" i="23"/>
  <c r="I7" i="23"/>
  <c r="I8" i="23"/>
  <c r="I9" i="23"/>
  <c r="I10" i="23"/>
  <c r="I11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5" i="23"/>
  <c r="H33" i="23"/>
  <c r="H48" i="2"/>
  <c r="K32" i="30" l="1"/>
  <c r="L32" i="30" s="1"/>
  <c r="J33" i="30"/>
  <c r="E82" i="23"/>
  <c r="M82" i="23"/>
  <c r="E78" i="23"/>
  <c r="M78" i="23"/>
  <c r="E74" i="23"/>
  <c r="M74" i="23"/>
  <c r="E68" i="23"/>
  <c r="M68" i="23"/>
  <c r="E64" i="23"/>
  <c r="M64" i="23"/>
  <c r="E60" i="23"/>
  <c r="M60" i="23"/>
  <c r="E56" i="23"/>
  <c r="M56" i="23"/>
  <c r="E53" i="23"/>
  <c r="M53" i="23"/>
  <c r="E46" i="23"/>
  <c r="M46" i="23"/>
  <c r="E42" i="23"/>
  <c r="M42" i="23"/>
  <c r="E38" i="23"/>
  <c r="M38" i="23"/>
  <c r="E34" i="23"/>
  <c r="M34" i="23"/>
  <c r="E28" i="23"/>
  <c r="M28" i="23"/>
  <c r="E24" i="23"/>
  <c r="M24" i="23"/>
  <c r="E20" i="23"/>
  <c r="M20" i="23"/>
  <c r="E16" i="23"/>
  <c r="M16" i="23"/>
  <c r="E11" i="23"/>
  <c r="M11" i="23"/>
  <c r="E7" i="23"/>
  <c r="M7" i="23"/>
  <c r="E81" i="23"/>
  <c r="M81" i="23"/>
  <c r="E77" i="23"/>
  <c r="M77" i="23"/>
  <c r="E71" i="23"/>
  <c r="M71" i="23"/>
  <c r="E67" i="23"/>
  <c r="M67" i="23"/>
  <c r="E63" i="23"/>
  <c r="M63" i="23"/>
  <c r="E59" i="23"/>
  <c r="M59" i="23"/>
  <c r="E55" i="23"/>
  <c r="M55" i="23"/>
  <c r="E52" i="23"/>
  <c r="M52" i="23"/>
  <c r="E49" i="23"/>
  <c r="M49" i="23"/>
  <c r="E45" i="23"/>
  <c r="M45" i="23"/>
  <c r="E41" i="23"/>
  <c r="M41" i="23"/>
  <c r="E37" i="23"/>
  <c r="M37" i="23"/>
  <c r="E33" i="23"/>
  <c r="M33" i="23"/>
  <c r="E27" i="23"/>
  <c r="M27" i="23"/>
  <c r="E23" i="23"/>
  <c r="M23" i="23"/>
  <c r="E19" i="23"/>
  <c r="M19" i="23"/>
  <c r="E15" i="23"/>
  <c r="M15" i="23"/>
  <c r="E10" i="23"/>
  <c r="M10" i="23"/>
  <c r="E6" i="23"/>
  <c r="M6" i="23"/>
  <c r="E84" i="23"/>
  <c r="M84" i="23"/>
  <c r="E80" i="23"/>
  <c r="M80" i="23"/>
  <c r="E76" i="23"/>
  <c r="M76" i="23"/>
  <c r="E70" i="23"/>
  <c r="M70" i="23"/>
  <c r="E66" i="23"/>
  <c r="M66" i="23"/>
  <c r="E62" i="23"/>
  <c r="M62" i="23"/>
  <c r="E58" i="23"/>
  <c r="M58" i="23"/>
  <c r="E51" i="23"/>
  <c r="M51" i="23"/>
  <c r="E48" i="23"/>
  <c r="M48" i="23"/>
  <c r="E44" i="23"/>
  <c r="M44" i="23"/>
  <c r="E40" i="23"/>
  <c r="M40" i="23"/>
  <c r="E36" i="23"/>
  <c r="M36" i="23"/>
  <c r="E30" i="23"/>
  <c r="M30" i="23"/>
  <c r="E26" i="23"/>
  <c r="M26" i="23"/>
  <c r="E22" i="23"/>
  <c r="M22" i="23"/>
  <c r="E18" i="23"/>
  <c r="M18" i="23"/>
  <c r="E14" i="23"/>
  <c r="M14" i="23"/>
  <c r="E9" i="23"/>
  <c r="M9" i="23"/>
  <c r="E5" i="23"/>
  <c r="M5" i="23"/>
  <c r="E83" i="23"/>
  <c r="M83" i="23"/>
  <c r="E79" i="23"/>
  <c r="M79" i="23"/>
  <c r="E75" i="23"/>
  <c r="M75" i="23"/>
  <c r="E69" i="23"/>
  <c r="M69" i="23"/>
  <c r="E65" i="23"/>
  <c r="M65" i="23"/>
  <c r="E61" i="23"/>
  <c r="M61" i="23"/>
  <c r="E57" i="23"/>
  <c r="M57" i="23"/>
  <c r="E54" i="23"/>
  <c r="M54" i="23"/>
  <c r="E50" i="23"/>
  <c r="M50" i="23"/>
  <c r="E47" i="23"/>
  <c r="M47" i="23"/>
  <c r="E43" i="23"/>
  <c r="M43" i="23"/>
  <c r="E39" i="23"/>
  <c r="M39" i="23"/>
  <c r="E35" i="23"/>
  <c r="M35" i="23"/>
  <c r="E29" i="23"/>
  <c r="M29" i="23"/>
  <c r="E25" i="23"/>
  <c r="M25" i="23"/>
  <c r="E21" i="23"/>
  <c r="M21" i="23"/>
  <c r="E17" i="23"/>
  <c r="M17" i="23"/>
  <c r="E13" i="23"/>
  <c r="M13" i="23"/>
  <c r="E8" i="23"/>
  <c r="M8" i="23"/>
  <c r="K19" i="23"/>
  <c r="E35" i="2"/>
  <c r="H64" i="23"/>
  <c r="H60" i="23"/>
  <c r="H44" i="23"/>
  <c r="H40" i="23"/>
  <c r="H29" i="23"/>
  <c r="H25" i="23"/>
  <c r="H57" i="23"/>
  <c r="H54" i="23"/>
  <c r="H50" i="23"/>
  <c r="H45" i="23"/>
  <c r="H38" i="23"/>
  <c r="H35" i="23"/>
  <c r="H31" i="23"/>
  <c r="H24" i="23"/>
  <c r="H18" i="23"/>
  <c r="H14" i="23"/>
  <c r="K26" i="23"/>
  <c r="K6" i="23"/>
  <c r="K7" i="23"/>
  <c r="K75" i="23"/>
  <c r="K58" i="23"/>
  <c r="K40" i="23"/>
  <c r="K39" i="23"/>
  <c r="K35" i="23"/>
  <c r="K28" i="23"/>
  <c r="K14" i="23"/>
  <c r="K66" i="23"/>
  <c r="K59" i="23"/>
  <c r="K52" i="23"/>
  <c r="K46" i="23"/>
  <c r="K43" i="23"/>
  <c r="K37" i="23"/>
  <c r="K27" i="23"/>
  <c r="K23" i="23"/>
  <c r="K20" i="23"/>
  <c r="K17" i="23"/>
  <c r="H28" i="23"/>
  <c r="K5" i="23"/>
  <c r="K13" i="23"/>
  <c r="K9" i="23"/>
  <c r="K10" i="23"/>
  <c r="H15" i="23"/>
  <c r="H5" i="23"/>
  <c r="J88" i="23"/>
  <c r="K80" i="23"/>
  <c r="K83" i="23"/>
  <c r="K77" i="23"/>
  <c r="K68" i="23"/>
  <c r="K63" i="23"/>
  <c r="H41" i="23"/>
  <c r="K70" i="23"/>
  <c r="K67" i="23"/>
  <c r="K56" i="23"/>
  <c r="K53" i="23"/>
  <c r="K44" i="23"/>
  <c r="K38" i="23"/>
  <c r="K31" i="23"/>
  <c r="K24" i="23"/>
  <c r="K18" i="23"/>
  <c r="H7" i="23"/>
  <c r="H47" i="23"/>
  <c r="H36" i="23"/>
  <c r="H21" i="23"/>
  <c r="K84" i="23"/>
  <c r="K81" i="23"/>
  <c r="K78" i="23"/>
  <c r="K65" i="23"/>
  <c r="K61" i="23"/>
  <c r="K51" i="23"/>
  <c r="K48" i="23"/>
  <c r="K42" i="23"/>
  <c r="K30" i="23"/>
  <c r="K22" i="23"/>
  <c r="K16" i="23"/>
  <c r="H11" i="23"/>
  <c r="H8" i="23"/>
  <c r="H84" i="23"/>
  <c r="H81" i="23"/>
  <c r="H85" i="23"/>
  <c r="H82" i="23"/>
  <c r="K85" i="23"/>
  <c r="K82" i="23"/>
  <c r="K79" i="23"/>
  <c r="K76" i="23"/>
  <c r="K74" i="23"/>
  <c r="K69" i="23"/>
  <c r="K62" i="23"/>
  <c r="K55" i="23"/>
  <c r="K49" i="23"/>
  <c r="H74" i="23"/>
  <c r="H66" i="23"/>
  <c r="H62" i="23"/>
  <c r="H59" i="23"/>
  <c r="H55" i="23"/>
  <c r="H52" i="23"/>
  <c r="H49" i="23"/>
  <c r="H46" i="23"/>
  <c r="H43" i="23"/>
  <c r="H37" i="23"/>
  <c r="H34" i="23"/>
  <c r="H27" i="23"/>
  <c r="H23" i="23"/>
  <c r="H20" i="23"/>
  <c r="H17" i="23"/>
  <c r="H13" i="23"/>
  <c r="H6" i="23"/>
  <c r="H79" i="23"/>
  <c r="H76" i="23"/>
  <c r="H69" i="23"/>
  <c r="H10" i="23"/>
  <c r="H83" i="23"/>
  <c r="K64" i="23"/>
  <c r="K60" i="23"/>
  <c r="K57" i="23"/>
  <c r="K54" i="23"/>
  <c r="K50" i="23"/>
  <c r="K47" i="23"/>
  <c r="K45" i="23"/>
  <c r="K41" i="23"/>
  <c r="K36" i="23"/>
  <c r="K29" i="23"/>
  <c r="K25" i="23"/>
  <c r="K21" i="23"/>
  <c r="K15" i="23"/>
  <c r="K11" i="23"/>
  <c r="K8" i="23"/>
  <c r="H78" i="23"/>
  <c r="H71" i="23"/>
  <c r="H68" i="23"/>
  <c r="H65" i="23"/>
  <c r="H61" i="23"/>
  <c r="H58" i="23"/>
  <c r="H51" i="23"/>
  <c r="H48" i="23"/>
  <c r="H42" i="23"/>
  <c r="H39" i="23"/>
  <c r="H30" i="23"/>
  <c r="H26" i="23"/>
  <c r="H22" i="23"/>
  <c r="H19" i="23"/>
  <c r="H16" i="23"/>
  <c r="H9" i="23"/>
  <c r="H80" i="23"/>
  <c r="H77" i="23"/>
  <c r="H75" i="23"/>
  <c r="H70" i="23"/>
  <c r="H67" i="23"/>
  <c r="H63" i="23"/>
  <c r="H56" i="23"/>
  <c r="H53" i="23"/>
  <c r="H88" i="23"/>
  <c r="K33" i="30" l="1"/>
  <c r="L33" i="30" s="1"/>
  <c r="J46" i="2"/>
  <c r="J49" i="2" s="1"/>
  <c r="E34" i="2"/>
  <c r="D39" i="30"/>
  <c r="F35" i="2"/>
  <c r="G39" i="30"/>
  <c r="G36" i="30" l="1"/>
  <c r="G37" i="30"/>
  <c r="E36" i="30"/>
  <c r="E37" i="30"/>
  <c r="G12" i="30"/>
  <c r="G14" i="30"/>
  <c r="G16" i="30"/>
  <c r="G18" i="30"/>
  <c r="G20" i="30"/>
  <c r="G22" i="30"/>
  <c r="G24" i="30"/>
  <c r="G26" i="30"/>
  <c r="G28" i="30"/>
  <c r="G30" i="30"/>
  <c r="G32" i="30"/>
  <c r="G34" i="30"/>
  <c r="G13" i="30"/>
  <c r="G15" i="30"/>
  <c r="G17" i="30"/>
  <c r="G19" i="30"/>
  <c r="G21" i="30"/>
  <c r="G23" i="30"/>
  <c r="G25" i="30"/>
  <c r="G27" i="30"/>
  <c r="G29" i="30"/>
  <c r="G31" i="30"/>
  <c r="G33" i="30"/>
  <c r="G35" i="30"/>
  <c r="G9" i="30"/>
  <c r="G11" i="30"/>
  <c r="G10" i="30"/>
  <c r="E10" i="30"/>
  <c r="E12" i="30"/>
  <c r="E14" i="30"/>
  <c r="E16" i="30"/>
  <c r="E18" i="30"/>
  <c r="E20" i="30"/>
  <c r="E22" i="30"/>
  <c r="E24" i="30"/>
  <c r="E26" i="30"/>
  <c r="E28" i="30"/>
  <c r="E30" i="30"/>
  <c r="E32" i="30"/>
  <c r="E34" i="30"/>
  <c r="E9" i="30"/>
  <c r="E11" i="30"/>
  <c r="E13" i="30"/>
  <c r="E15" i="30"/>
  <c r="E17" i="30"/>
  <c r="E19" i="30"/>
  <c r="E21" i="30"/>
  <c r="E23" i="30"/>
  <c r="E25" i="30"/>
  <c r="E27" i="30"/>
  <c r="E29" i="30"/>
  <c r="E31" i="30"/>
  <c r="E33" i="30"/>
  <c r="E35" i="30"/>
  <c r="G8" i="30"/>
  <c r="E8" i="30"/>
  <c r="G7" i="30"/>
  <c r="H39" i="30"/>
  <c r="C88" i="23"/>
  <c r="F34" i="2"/>
  <c r="D46" i="2"/>
  <c r="D49" i="2" s="1"/>
  <c r="D88" i="23"/>
  <c r="K88" i="23" s="1"/>
  <c r="E46" i="2"/>
  <c r="F46" i="2" s="1"/>
  <c r="E36" i="2" l="1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E7" i="30"/>
  <c r="F49" i="2"/>
  <c r="H49" i="2" s="1"/>
  <c r="E49" i="2"/>
  <c r="E50" i="2"/>
  <c r="G49" i="2" s="1"/>
  <c r="G46" i="2"/>
  <c r="E88" i="23"/>
  <c r="H46" i="2" l="1"/>
  <c r="L88" i="23"/>
  <c r="N88" i="23" s="1"/>
  <c r="F36" i="2"/>
  <c r="M35" i="2"/>
  <c r="M34" i="2"/>
  <c r="M88" i="23" l="1"/>
</calcChain>
</file>

<file path=xl/sharedStrings.xml><?xml version="1.0" encoding="utf-8"?>
<sst xmlns="http://schemas.openxmlformats.org/spreadsheetml/2006/main" count="799" uniqueCount="348">
  <si>
    <t>MD</t>
  </si>
  <si>
    <t>ACTUAL</t>
  </si>
  <si>
    <t>%</t>
  </si>
  <si>
    <t>8A</t>
  </si>
  <si>
    <t>8B</t>
  </si>
  <si>
    <t>7A</t>
  </si>
  <si>
    <t>7B</t>
  </si>
  <si>
    <t>7C</t>
  </si>
  <si>
    <t>8C</t>
  </si>
  <si>
    <t>8D</t>
  </si>
  <si>
    <t>TOTAL</t>
  </si>
  <si>
    <t xml:space="preserve">AS OF </t>
  </si>
  <si>
    <t>6A</t>
  </si>
  <si>
    <t>6B</t>
  </si>
  <si>
    <t>REASON</t>
  </si>
  <si>
    <t>VALUE</t>
  </si>
  <si>
    <t>BEST ACHIEVEMENT</t>
  </si>
  <si>
    <t>BEST VALUE</t>
  </si>
  <si>
    <t>Friday</t>
  </si>
  <si>
    <t>Thursday</t>
  </si>
  <si>
    <t>Saturday</t>
  </si>
  <si>
    <t>Sunday</t>
  </si>
  <si>
    <t>Monday</t>
  </si>
  <si>
    <t>Tuesday</t>
  </si>
  <si>
    <t>Wednesday</t>
  </si>
  <si>
    <t>NO</t>
  </si>
  <si>
    <t>DAY</t>
  </si>
  <si>
    <t>TARGET</t>
  </si>
  <si>
    <t>STORE</t>
  </si>
  <si>
    <t>BEST GROWTH</t>
  </si>
  <si>
    <t>STORE_NAME</t>
  </si>
  <si>
    <t xml:space="preserve">MD </t>
  </si>
  <si>
    <t>RS67</t>
  </si>
  <si>
    <t>DATE</t>
  </si>
  <si>
    <t>%  GM</t>
  </si>
  <si>
    <t>SSR</t>
  </si>
  <si>
    <t>O041</t>
  </si>
  <si>
    <t>ALL MD</t>
  </si>
  <si>
    <t xml:space="preserve">TARGET </t>
  </si>
  <si>
    <t>ACT %</t>
  </si>
  <si>
    <t>ACTUAL CUMM</t>
  </si>
  <si>
    <t>% CUMM</t>
  </si>
  <si>
    <t xml:space="preserve">OVER/UNDER </t>
  </si>
  <si>
    <t>RS66</t>
  </si>
  <si>
    <t>GRW Y-1</t>
  </si>
  <si>
    <t>% ACH</t>
  </si>
  <si>
    <t>RS91</t>
  </si>
  <si>
    <t>RS94</t>
  </si>
  <si>
    <t xml:space="preserve"> % DISC</t>
  </si>
  <si>
    <t>DIVISI</t>
  </si>
  <si>
    <t>SUPERMARKET</t>
  </si>
  <si>
    <t xml:space="preserve">FASHION  </t>
  </si>
  <si>
    <t>CONSIGMENT</t>
  </si>
  <si>
    <t>SALES ACHIEVEMENT REPORT - BY DIVISION</t>
  </si>
  <si>
    <t>% EST GRW</t>
  </si>
  <si>
    <t>Y-1</t>
  </si>
  <si>
    <t>Est.  EOM</t>
  </si>
  <si>
    <t>S110</t>
  </si>
  <si>
    <t>S114</t>
  </si>
  <si>
    <t>S035</t>
  </si>
  <si>
    <t>S039</t>
  </si>
  <si>
    <t>S040</t>
  </si>
  <si>
    <t>S058</t>
  </si>
  <si>
    <t>S077</t>
  </si>
  <si>
    <t>S078</t>
  </si>
  <si>
    <t>S081</t>
  </si>
  <si>
    <t>S102</t>
  </si>
  <si>
    <t>S203</t>
  </si>
  <si>
    <t>S221</t>
  </si>
  <si>
    <t>S205</t>
  </si>
  <si>
    <t>S212</t>
  </si>
  <si>
    <t>S213</t>
  </si>
  <si>
    <t>S216</t>
  </si>
  <si>
    <t>S220</t>
  </si>
  <si>
    <t>S223</t>
  </si>
  <si>
    <t>S226</t>
  </si>
  <si>
    <t>S227</t>
  </si>
  <si>
    <t>S229</t>
  </si>
  <si>
    <t>S230</t>
  </si>
  <si>
    <t>S002</t>
  </si>
  <si>
    <t>S010</t>
  </si>
  <si>
    <t>S014</t>
  </si>
  <si>
    <t>S015</t>
  </si>
  <si>
    <t>S020</t>
  </si>
  <si>
    <t>S021</t>
  </si>
  <si>
    <t>S022</t>
  </si>
  <si>
    <t>S026</t>
  </si>
  <si>
    <t>S029</t>
  </si>
  <si>
    <t>S031</t>
  </si>
  <si>
    <t>S032</t>
  </si>
  <si>
    <t>S033</t>
  </si>
  <si>
    <t>S034</t>
  </si>
  <si>
    <t>S036</t>
  </si>
  <si>
    <t>S037</t>
  </si>
  <si>
    <t>S038</t>
  </si>
  <si>
    <t>S043</t>
  </si>
  <si>
    <t>S045</t>
  </si>
  <si>
    <t>S046</t>
  </si>
  <si>
    <t>S047</t>
  </si>
  <si>
    <t>S048</t>
  </si>
  <si>
    <t>S049</t>
  </si>
  <si>
    <t>S051</t>
  </si>
  <si>
    <t>S052</t>
  </si>
  <si>
    <t>S055</t>
  </si>
  <si>
    <t>S060</t>
  </si>
  <si>
    <t>S061</t>
  </si>
  <si>
    <t>S062</t>
  </si>
  <si>
    <t>S063</t>
  </si>
  <si>
    <t>S068</t>
  </si>
  <si>
    <t>S070</t>
  </si>
  <si>
    <t>S071</t>
  </si>
  <si>
    <t>S074</t>
  </si>
  <si>
    <t>S075</t>
  </si>
  <si>
    <t>S079</t>
  </si>
  <si>
    <t>S080</t>
  </si>
  <si>
    <t>S082</t>
  </si>
  <si>
    <t>S083</t>
  </si>
  <si>
    <t>S085</t>
  </si>
  <si>
    <t>S086</t>
  </si>
  <si>
    <t>S088</t>
  </si>
  <si>
    <t>S089</t>
  </si>
  <si>
    <t>S090</t>
  </si>
  <si>
    <t>S097</t>
  </si>
  <si>
    <t>S099</t>
  </si>
  <si>
    <t>S100</t>
  </si>
  <si>
    <t>S101</t>
  </si>
  <si>
    <t>S103</t>
  </si>
  <si>
    <t>S105</t>
  </si>
  <si>
    <t>S106</t>
  </si>
  <si>
    <t>S107</t>
  </si>
  <si>
    <t>S109</t>
  </si>
  <si>
    <t>END OF MONTH (EOM) ESTIMATED VALUE</t>
  </si>
  <si>
    <t>END OF MONTH (EOM) ESTIMATED   %</t>
  </si>
  <si>
    <t>NET SALES ACHIEVEMENT REPORT - ALL MD SUPERMARKET</t>
  </si>
  <si>
    <t>check</t>
  </si>
  <si>
    <t>S999</t>
  </si>
  <si>
    <t>DAILY SALES ACHIEVEMENT REPORT</t>
  </si>
  <si>
    <t>STORE NET SALES ACHIEVEMENT REPORT - ALL STORE</t>
  </si>
  <si>
    <t>*)  Source data by MIS</t>
  </si>
  <si>
    <t xml:space="preserve">   Source data by MIS</t>
  </si>
  <si>
    <t>*) net sales in Million Rp</t>
  </si>
  <si>
    <t xml:space="preserve">              Source data by MIS</t>
  </si>
  <si>
    <t>*)  In Million Rp</t>
  </si>
  <si>
    <t>S121</t>
  </si>
  <si>
    <t>TARGET CUM</t>
  </si>
  <si>
    <t xml:space="preserve"> EOM ESTIMATED</t>
  </si>
  <si>
    <t xml:space="preserve">AVG BY DAY </t>
  </si>
  <si>
    <t>grand</t>
  </si>
  <si>
    <t xml:space="preserve">              *Excl. Store closed</t>
  </si>
  <si>
    <t xml:space="preserve">GRW Y-1 (excl. str closed) </t>
  </si>
  <si>
    <t>EST GRW VS LY</t>
  </si>
  <si>
    <t>% ACHV</t>
  </si>
  <si>
    <t>% DISC</t>
  </si>
  <si>
    <t>S013</t>
  </si>
  <si>
    <t>Est. GRW vs LY (%)</t>
  </si>
  <si>
    <t>SUB DIV</t>
  </si>
  <si>
    <t>GMS</t>
  </si>
  <si>
    <t>GMS_TOT</t>
  </si>
  <si>
    <t>GROC_TOT</t>
  </si>
  <si>
    <t>FRESH</t>
  </si>
  <si>
    <t>FRESH_TOT</t>
  </si>
  <si>
    <t xml:space="preserve">  :  </t>
  </si>
  <si>
    <t>61,62,71,72,73,81,82,83,84</t>
  </si>
  <si>
    <t xml:space="preserve">  </t>
  </si>
  <si>
    <t>Nilai Net</t>
  </si>
  <si>
    <t>Amount Target-OutRgt</t>
  </si>
  <si>
    <t>Amount Target-Cons</t>
  </si>
  <si>
    <t>Amount Target-Total</t>
  </si>
  <si>
    <t>QTY OutRgt</t>
  </si>
  <si>
    <t>Amount OutRgt</t>
  </si>
  <si>
    <t>Disc OutRgt</t>
  </si>
  <si>
    <t>%MTarget OutRgt</t>
  </si>
  <si>
    <t>%MSales OutRgt</t>
  </si>
  <si>
    <t>MSales OutRgt</t>
  </si>
  <si>
    <t>%Achv OutRgt</t>
  </si>
  <si>
    <t>%Disc OutRgt</t>
  </si>
  <si>
    <t>QTY Cons</t>
  </si>
  <si>
    <t>Amount Cons</t>
  </si>
  <si>
    <t>Disc Cons</t>
  </si>
  <si>
    <t>%MTarget Cons</t>
  </si>
  <si>
    <t>%MSales Cons</t>
  </si>
  <si>
    <t>MSales Cons</t>
  </si>
  <si>
    <t>%Achv Cons</t>
  </si>
  <si>
    <t>%Disc Cons</t>
  </si>
  <si>
    <t>QTY Total</t>
  </si>
  <si>
    <t>Amount Total</t>
  </si>
  <si>
    <t>Disc Total</t>
  </si>
  <si>
    <t>%MTarget Total</t>
  </si>
  <si>
    <t>%MSales Total</t>
  </si>
  <si>
    <t>MSales Total</t>
  </si>
  <si>
    <t>%Achv Total</t>
  </si>
  <si>
    <t>%Disc Total</t>
  </si>
  <si>
    <t>Last Sales</t>
  </si>
  <si>
    <t>GROUP MD Bazaar</t>
  </si>
  <si>
    <t>061 TOYS</t>
  </si>
  <si>
    <t>062 STATIONERY</t>
  </si>
  <si>
    <t>071 BED &amp; BATH</t>
  </si>
  <si>
    <t>072 HOUSEHOLD</t>
  </si>
  <si>
    <t>073 ELECTRONIC</t>
  </si>
  <si>
    <t>081 BEAUTY,HOME CARE AND CLEANING</t>
  </si>
  <si>
    <t>082 FOODS</t>
  </si>
  <si>
    <t>083 DRINKS</t>
  </si>
  <si>
    <t>084 FRESH PRODUCT</t>
  </si>
  <si>
    <t>***SUB TOTAL***</t>
  </si>
  <si>
    <t>***PAGE TOTAL***</t>
  </si>
  <si>
    <t>***GRAND TOTAL***</t>
  </si>
  <si>
    <t>Store Name</t>
  </si>
  <si>
    <t>Group RA</t>
  </si>
  <si>
    <t>S002 - ROBINSON PULOGADUNG</t>
  </si>
  <si>
    <t>S010 - ROBINSON PAL MERAH</t>
  </si>
  <si>
    <t>SK - ROBINSON KRAMAT JATI</t>
  </si>
  <si>
    <t>S014 - ROBINSON PASAR KOPRO</t>
  </si>
  <si>
    <t>S015 - ROBINSON BOGOR</t>
  </si>
  <si>
    <t>S020 - ROBINSON CIPUTAT</t>
  </si>
  <si>
    <t>S021 - ROBINSON PRATAMA PLAZA BEKASI</t>
  </si>
  <si>
    <t>S022 - ROBINSON PASAR MINGGU</t>
  </si>
  <si>
    <t>S026 - ROBINSON CIMONE</t>
  </si>
  <si>
    <t>S029 - ROBINSON TANJUNG PRIOK</t>
  </si>
  <si>
    <t>S031 - ROBINSON KODIM TANGERANG</t>
  </si>
  <si>
    <t>S032 - ROBINSON TEBET</t>
  </si>
  <si>
    <t>S033 - ROBINSON TANJUNG PRIOK</t>
  </si>
  <si>
    <t>S034 - ROBINSON DEPOK</t>
  </si>
  <si>
    <t>S036 - ROBINSON BOGOR</t>
  </si>
  <si>
    <t>S038 - ROBINSON KLENDER</t>
  </si>
  <si>
    <t>S039 - ROBINSON SADANG TERMINAL SQUARE</t>
  </si>
  <si>
    <t>S043 - ROBINSON CIBINONG II</t>
  </si>
  <si>
    <t>S049 - ROBINSON CILEDUG</t>
  </si>
  <si>
    <t>S068 - ROBINSON CILEUNGSI</t>
  </si>
  <si>
    <t>S102 - ROBINSON KEBAYORAN LAMA</t>
  </si>
  <si>
    <t>S107 - ROBINSON CIBINONG</t>
  </si>
  <si>
    <t>S109 - ROBINSON KLENDER</t>
  </si>
  <si>
    <t>S121 - ROBINSON TAJUR</t>
  </si>
  <si>
    <t>Group RB</t>
  </si>
  <si>
    <t>S046 - ROBINSON CIANJUR</t>
  </si>
  <si>
    <t>S082 - ROBINSON SESETAN</t>
  </si>
  <si>
    <t>S083 - ROBINSON BANYUWANGI</t>
  </si>
  <si>
    <t>S097 - ROBINSON PADALARANG</t>
  </si>
  <si>
    <t>S100 - ROBINSON CIREBON</t>
  </si>
  <si>
    <t>S106 - ROBINSON CIBADAK</t>
  </si>
  <si>
    <t>S110 - ROBINSON PEKALONGAN</t>
  </si>
  <si>
    <t>S203 - ROBINSON SALATIGA</t>
  </si>
  <si>
    <t>S205 - ROBINSON SUKABUMI</t>
  </si>
  <si>
    <t>S212 - ROBINSON CIMAHI</t>
  </si>
  <si>
    <t>S213 - ROBINSON MALANG</t>
  </si>
  <si>
    <t>S220 - ROBINSON BALI</t>
  </si>
  <si>
    <t>S221 - ROBINSON BATAM II</t>
  </si>
  <si>
    <t>S223 - ROBINSON KRIAN</t>
  </si>
  <si>
    <t>S226 - ROBINSON TANJUNG PINANG</t>
  </si>
  <si>
    <t>S229 - ROBINSON BALI II</t>
  </si>
  <si>
    <t>S230 - ROBINSON BATAM III (PANBILL)</t>
  </si>
  <si>
    <t>Group RC</t>
  </si>
  <si>
    <t>O041 - ORANGEMART MEDAN</t>
  </si>
  <si>
    <t>RS66 - ROBINSON ANDALAS</t>
  </si>
  <si>
    <t>RS91 - ROBINSON ABEPURA</t>
  </si>
  <si>
    <t>S045 - ROBINSON JAMBI</t>
  </si>
  <si>
    <t>S048 - ROBINSON LAMPUNG</t>
  </si>
  <si>
    <t>S051 - ROBINSON BALIKPAPAN</t>
  </si>
  <si>
    <t>S052 - ROBINSON PANGKAL PINANG</t>
  </si>
  <si>
    <t>S055 - ROBINSON SAMARINDA</t>
  </si>
  <si>
    <t>S058 - ROBINSON MEDAN II</t>
  </si>
  <si>
    <t>S060 - ROBINSON TARAKAN</t>
  </si>
  <si>
    <t>S062 - ROBINSON MEDAN III</t>
  </si>
  <si>
    <t>S063 - ROBINSON BANJARMASIN II</t>
  </si>
  <si>
    <t>S080 - ROBINSON PLAZA DUMAI</t>
  </si>
  <si>
    <t>S081 - ROBINSON PLAZA BONTANG</t>
  </si>
  <si>
    <t>S086 - ROBINSON KERINCI</t>
  </si>
  <si>
    <t>S088 - ROBINSON PAYA KUMBUH</t>
  </si>
  <si>
    <t>S089 - ROBINSON TEBING TINGGI</t>
  </si>
  <si>
    <t>S090 - ROBINSON KOTA BUMI</t>
  </si>
  <si>
    <t>S101 - ROBINSON LAMPUNG</t>
  </si>
  <si>
    <t>S103 - ROBINSON SORONG</t>
  </si>
  <si>
    <t>%ACH</t>
  </si>
  <si>
    <t>TGT GP</t>
  </si>
  <si>
    <t>ACT GP</t>
  </si>
  <si>
    <t>(+/-) GP</t>
  </si>
  <si>
    <t>ACT  Y-1</t>
  </si>
  <si>
    <t>EST ACH%</t>
  </si>
  <si>
    <t>NilaiNet</t>
  </si>
  <si>
    <t>Type</t>
  </si>
  <si>
    <t>Harian</t>
  </si>
  <si>
    <t>Sort</t>
  </si>
  <si>
    <t>Target</t>
  </si>
  <si>
    <t>% Akum</t>
  </si>
  <si>
    <t>% MrgnS</t>
  </si>
  <si>
    <t>Group Bazaar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</si>
  <si>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</si>
  <si>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S124</t>
  </si>
  <si>
    <t>S011 - ROBINSON PASAR MINGGU</t>
  </si>
  <si>
    <t>S011</t>
  </si>
  <si>
    <t>S125</t>
  </si>
  <si>
    <t>RS67 - ROBINSON KARAWANG</t>
  </si>
  <si>
    <t>S035 - ROBINSON CILEGON</t>
  </si>
  <si>
    <t>S037 - ROBINSON CIBITUNG</t>
  </si>
  <si>
    <t>S040 - ROBINSON CENGKARENG</t>
  </si>
  <si>
    <t>S047 - ROBINSON CIBUBUR II</t>
  </si>
  <si>
    <t>S071 - ROBINSON BOGOR TRADE MALL</t>
  </si>
  <si>
    <t>S074 - ROBINSON SENTRA GROSIR CIKARANG</t>
  </si>
  <si>
    <t>S075 - ROBINSON MALL SERANG BANTEN</t>
  </si>
  <si>
    <t>S105 - ROBINSON PARUNG</t>
  </si>
  <si>
    <t>S114 - ROBINSON BOGOR</t>
  </si>
  <si>
    <t>S124 - ROBINSON CIKUPA</t>
  </si>
  <si>
    <t>S125 - ROBINSON JATINEGARA II</t>
  </si>
  <si>
    <t>S999 - ROBINSON WHOLESALE</t>
  </si>
  <si>
    <t>S061 - ROBINSON KUPANG</t>
  </si>
  <si>
    <t>S099 - ROBINSON GARUT</t>
  </si>
  <si>
    <t>S216 - ROBINSON GRESIK</t>
  </si>
  <si>
    <t>S227 - ROBINSON SIDOARJO II</t>
  </si>
  <si>
    <t>RS94 - ROBINSON SAMARINDA TC</t>
  </si>
  <si>
    <t>S079 - ROBINSON MAKASAR</t>
  </si>
  <si>
    <t>S044</t>
  </si>
  <si>
    <t>TGL 1</t>
  </si>
  <si>
    <t>M6A</t>
  </si>
  <si>
    <t>M6B</t>
  </si>
  <si>
    <t>M7A</t>
  </si>
  <si>
    <t>M7B</t>
  </si>
  <si>
    <t>M7C</t>
  </si>
  <si>
    <t>M8A</t>
  </si>
  <si>
    <t>M8B</t>
  </si>
  <si>
    <t>M8C</t>
  </si>
  <si>
    <t>M8D</t>
  </si>
  <si>
    <t>TGL 2</t>
  </si>
  <si>
    <t>TGT</t>
  </si>
  <si>
    <t>TGL 3</t>
  </si>
  <si>
    <t>OLD</t>
  </si>
  <si>
    <t>NEW</t>
  </si>
  <si>
    <t>SELISIH</t>
  </si>
  <si>
    <t>FASHION</t>
  </si>
  <si>
    <t>CONSIGNMENT</t>
  </si>
  <si>
    <t xml:space="preserve">Actual Y-1 (2019)            (excl. str closed) </t>
  </si>
  <si>
    <t xml:space="preserve">    L2L = Like to like Y2019</t>
  </si>
  <si>
    <t>S136 - ROBINSON KUTABUMI</t>
  </si>
  <si>
    <t>S136</t>
  </si>
  <si>
    <t>MAR 2020</t>
  </si>
  <si>
    <t>SALES BY MD ( Bulan/Tahun : "0320" )</t>
  </si>
  <si>
    <t>SALES BY STORE ( Bulan/Tahun : "0320" )</t>
  </si>
  <si>
    <t>SALES PERCENTATION BY MD ( Bulan/Tahun : "0320" )</t>
  </si>
  <si>
    <t>S077 - ROBINSON BUKIT TINGGI - JAM GADANG</t>
  </si>
  <si>
    <t>'24-03-2020</t>
  </si>
  <si>
    <t>'29-03-2020</t>
  </si>
  <si>
    <t>'27-03-2020</t>
  </si>
  <si>
    <t>'26-03-2020</t>
  </si>
  <si>
    <t>'28-03-2020</t>
  </si>
  <si>
    <t>Last Sales 202003 : 2020-03-31</t>
  </si>
  <si>
    <t>Last Sales 202004 :   ----  m.akhlis -- 01-Apr-2020 09:17:06</t>
  </si>
  <si>
    <t>'31-03-2020</t>
  </si>
  <si>
    <t>Last Sales 202004 :   ----  m.akhlis -- 01-Apr-2020 09:17:26</t>
  </si>
  <si>
    <t>'30-03-2020</t>
  </si>
  <si>
    <t>Last Sales 202004 :   ----  m.akhlis -- 01-Apr-2020 09:17:44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</si>
</sst>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(* #,##0.000_);_(* \(#,##0.000\);_(* &quot;-&quot;??_);_(@_)"/>
    <numFmt numFmtId="168" formatCode="_(* #,##0.0000_);_(* \(#,##0.0000\);_(* &quot;-&quot;??_);_(@_)"/>
    <numFmt numFmtId="169" formatCode="[$-409]mmm\-yy;@"/>
    <numFmt numFmtId="170" formatCode="_(* #,##0.0_);_(* \(#,##0.0\);_(* &quot;-&quot;??_);_(@_)"/>
    <numFmt numFmtId="171" formatCode="0.000%"/>
    <numFmt numFmtId="172" formatCode="_-* #,##0.0_-;\-* #,##0.0_-;_-* &quot;-&quot;??_-;_-@_-"/>
    <numFmt numFmtId="173" formatCode="_-* #,##0.000_-;\-* #,##0.000_-;_-* &quot;-&quot;??_-;_-@_-"/>
    <numFmt numFmtId="174" formatCode="_-* #,##0_-;\-* #,##0_-;_-* &quot;-&quot;??_-;_-@_-"/>
    <numFmt numFmtId="175" formatCode="_(* #,##0.00_);_(* \(#,##0.00\);_(* &quot;-&quot;_);_(@_)"/>
    <numFmt numFmtId="176" formatCode="_-* #,##0.00000_-;\-* #,##0.00000_-;_-* &quot;-&quot;??_-;_-@_-"/>
  </numFmts>
  <fonts count="50" x14ac:knownFonts="1">
    <font>
      <sz val="10"/>
      <color theme="1"/>
      <name val="Arial"/>
      <family val="2"/>
    </font>
    <font>
      <sz val="11"/>
      <color indexed="8"/>
      <name val="Calibri"/>
      <family val="2"/>
    </font>
    <font>
      <i/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sz val="14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i/>
      <sz val="11"/>
      <name val="Arial Narrow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i/>
      <sz val="10"/>
      <color rgb="FFFF0000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rgb="FFFF0000"/>
      <name val="Arial Narrow"/>
      <family val="2"/>
    </font>
    <font>
      <b/>
      <i/>
      <sz val="10"/>
      <color theme="0"/>
      <name val="Arial Narrow"/>
      <family val="2"/>
    </font>
    <font>
      <b/>
      <i/>
      <sz val="10"/>
      <color rgb="FFFF0000"/>
      <name val="Arial"/>
      <family val="2"/>
    </font>
    <font>
      <b/>
      <i/>
      <sz val="10"/>
      <color theme="0"/>
      <name val="Arial"/>
      <family val="2"/>
    </font>
    <font>
      <sz val="10"/>
      <color theme="1"/>
      <name val="Arial Narrow"/>
      <family val="2"/>
    </font>
    <font>
      <b/>
      <sz val="11"/>
      <color theme="4" tint="0.79998168889431442"/>
      <name val="Arial Narrow"/>
      <family val="2"/>
    </font>
    <font>
      <sz val="8"/>
      <name val="Arial"/>
      <family val="2"/>
    </font>
    <font>
      <b/>
      <sz val="12"/>
      <name val="Arial Narrow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theme="0" tint="-0.24994659260841701"/>
      </bottom>
      <diagonal/>
    </border>
  </borders>
  <cellStyleXfs count="63">
    <xf numFmtId="169" fontId="0" fillId="0" borderId="0"/>
    <xf numFmtId="169" fontId="14" fillId="2" borderId="0" applyNumberFormat="0" applyBorder="0" applyAlignment="0" applyProtection="0"/>
    <xf numFmtId="169" fontId="14" fillId="3" borderId="0" applyNumberFormat="0" applyBorder="0" applyAlignment="0" applyProtection="0"/>
    <xf numFmtId="169" fontId="14" fillId="4" borderId="0" applyNumberFormat="0" applyBorder="0" applyAlignment="0" applyProtection="0"/>
    <xf numFmtId="169" fontId="14" fillId="5" borderId="0" applyNumberFormat="0" applyBorder="0" applyAlignment="0" applyProtection="0"/>
    <xf numFmtId="169" fontId="14" fillId="6" borderId="0" applyNumberFormat="0" applyBorder="0" applyAlignment="0" applyProtection="0"/>
    <xf numFmtId="169" fontId="14" fillId="7" borderId="0" applyNumberFormat="0" applyBorder="0" applyAlignment="0" applyProtection="0"/>
    <xf numFmtId="169" fontId="14" fillId="8" borderId="0" applyNumberFormat="0" applyBorder="0" applyAlignment="0" applyProtection="0"/>
    <xf numFmtId="169" fontId="14" fillId="9" borderId="0" applyNumberFormat="0" applyBorder="0" applyAlignment="0" applyProtection="0"/>
    <xf numFmtId="169" fontId="14" fillId="10" borderId="0" applyNumberFormat="0" applyBorder="0" applyAlignment="0" applyProtection="0"/>
    <xf numFmtId="169" fontId="14" fillId="11" borderId="0" applyNumberFormat="0" applyBorder="0" applyAlignment="0" applyProtection="0"/>
    <xf numFmtId="169" fontId="14" fillId="12" borderId="0" applyNumberFormat="0" applyBorder="0" applyAlignment="0" applyProtection="0"/>
    <xf numFmtId="169" fontId="14" fillId="13" borderId="0" applyNumberFormat="0" applyBorder="0" applyAlignment="0" applyProtection="0"/>
    <xf numFmtId="169" fontId="15" fillId="14" borderId="0" applyNumberFormat="0" applyBorder="0" applyAlignment="0" applyProtection="0"/>
    <xf numFmtId="169" fontId="15" fillId="15" borderId="0" applyNumberFormat="0" applyBorder="0" applyAlignment="0" applyProtection="0"/>
    <xf numFmtId="169" fontId="15" fillId="16" borderId="0" applyNumberFormat="0" applyBorder="0" applyAlignment="0" applyProtection="0"/>
    <xf numFmtId="169" fontId="15" fillId="17" borderId="0" applyNumberFormat="0" applyBorder="0" applyAlignment="0" applyProtection="0"/>
    <xf numFmtId="169" fontId="15" fillId="18" borderId="0" applyNumberFormat="0" applyBorder="0" applyAlignment="0" applyProtection="0"/>
    <xf numFmtId="169" fontId="15" fillId="19" borderId="0" applyNumberFormat="0" applyBorder="0" applyAlignment="0" applyProtection="0"/>
    <xf numFmtId="169" fontId="15" fillId="20" borderId="0" applyNumberFormat="0" applyBorder="0" applyAlignment="0" applyProtection="0"/>
    <xf numFmtId="169" fontId="15" fillId="21" borderId="0" applyNumberFormat="0" applyBorder="0" applyAlignment="0" applyProtection="0"/>
    <xf numFmtId="169" fontId="15" fillId="22" borderId="0" applyNumberFormat="0" applyBorder="0" applyAlignment="0" applyProtection="0"/>
    <xf numFmtId="169" fontId="15" fillId="23" borderId="0" applyNumberFormat="0" applyBorder="0" applyAlignment="0" applyProtection="0"/>
    <xf numFmtId="169" fontId="15" fillId="24" borderId="0" applyNumberFormat="0" applyBorder="0" applyAlignment="0" applyProtection="0"/>
    <xf numFmtId="169" fontId="15" fillId="25" borderId="0" applyNumberFormat="0" applyBorder="0" applyAlignment="0" applyProtection="0"/>
    <xf numFmtId="169" fontId="16" fillId="26" borderId="0" applyNumberFormat="0" applyBorder="0" applyAlignment="0" applyProtection="0"/>
    <xf numFmtId="169" fontId="17" fillId="27" borderId="12" applyNumberFormat="0" applyAlignment="0" applyProtection="0"/>
    <xf numFmtId="169" fontId="18" fillId="28" borderId="13" applyNumberFormat="0" applyAlignment="0" applyProtection="0"/>
    <xf numFmtId="164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169" fontId="19" fillId="0" borderId="0" applyNumberFormat="0" applyFill="0" applyBorder="0" applyAlignment="0" applyProtection="0"/>
    <xf numFmtId="169" fontId="20" fillId="29" borderId="0" applyNumberFormat="0" applyBorder="0" applyAlignment="0" applyProtection="0"/>
    <xf numFmtId="169" fontId="21" fillId="0" borderId="14" applyNumberFormat="0" applyFill="0" applyAlignment="0" applyProtection="0"/>
    <xf numFmtId="169" fontId="22" fillId="0" borderId="15" applyNumberFormat="0" applyFill="0" applyAlignment="0" applyProtection="0"/>
    <xf numFmtId="169" fontId="23" fillId="0" borderId="16" applyNumberFormat="0" applyFill="0" applyAlignment="0" applyProtection="0"/>
    <xf numFmtId="169" fontId="23" fillId="0" borderId="0" applyNumberFormat="0" applyFill="0" applyBorder="0" applyAlignment="0" applyProtection="0"/>
    <xf numFmtId="169" fontId="24" fillId="0" borderId="0" applyNumberFormat="0" applyFill="0" applyBorder="0" applyAlignment="0" applyProtection="0">
      <alignment vertical="top"/>
      <protection locked="0"/>
    </xf>
    <xf numFmtId="169" fontId="25" fillId="30" borderId="12" applyNumberFormat="0" applyAlignment="0" applyProtection="0"/>
    <xf numFmtId="169" fontId="26" fillId="0" borderId="17" applyNumberFormat="0" applyFill="0" applyAlignment="0" applyProtection="0"/>
    <xf numFmtId="169" fontId="27" fillId="31" borderId="0" applyNumberFormat="0" applyBorder="0" applyAlignment="0" applyProtection="0"/>
    <xf numFmtId="169" fontId="14" fillId="0" borderId="0"/>
    <xf numFmtId="169" fontId="13" fillId="0" borderId="0"/>
    <xf numFmtId="169" fontId="14" fillId="0" borderId="0"/>
    <xf numFmtId="169" fontId="13" fillId="0" borderId="0"/>
    <xf numFmtId="169" fontId="14" fillId="32" borderId="18" applyNumberFormat="0" applyFont="0" applyAlignment="0" applyProtection="0"/>
    <xf numFmtId="169" fontId="14" fillId="32" borderId="18" applyNumberFormat="0" applyFont="0" applyAlignment="0" applyProtection="0"/>
    <xf numFmtId="169" fontId="14" fillId="32" borderId="18" applyNumberFormat="0" applyFont="0" applyAlignment="0" applyProtection="0"/>
    <xf numFmtId="169" fontId="14" fillId="32" borderId="18" applyNumberFormat="0" applyFont="0" applyAlignment="0" applyProtection="0"/>
    <xf numFmtId="169" fontId="28" fillId="27" borderId="19" applyNumberFormat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29" fillId="0" borderId="0" applyNumberFormat="0" applyFill="0" applyBorder="0" applyAlignment="0" applyProtection="0"/>
    <xf numFmtId="169" fontId="30" fillId="0" borderId="20" applyNumberFormat="0" applyFill="0" applyAlignment="0" applyProtection="0"/>
    <xf numFmtId="169" fontId="31" fillId="0" borderId="0" applyNumberFormat="0" applyFill="0" applyBorder="0" applyAlignment="0" applyProtection="0"/>
    <xf numFmtId="41" fontId="13" fillId="0" borderId="0" applyFont="0" applyFill="0" applyBorder="0" applyAlignment="0" applyProtection="0"/>
    <xf numFmtId="169" fontId="48" fillId="0" borderId="0"/>
    <xf numFmtId="43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9" fontId="13" fillId="0" borderId="0" applyFont="0" applyFill="0" applyBorder="0" applyAlignment="0" applyProtection="0"/>
    <xf numFmtId="169" fontId="48" fillId="0" borderId="0"/>
    <xf numFmtId="169" fontId="48" fillId="0" borderId="0"/>
    <xf numFmtId="169" fontId="48" fillId="0" borderId="0"/>
  </cellStyleXfs>
  <cellXfs count="337">
    <xf numFmtId="169" fontId="0" fillId="0" borderId="0" xfId="0"/>
    <xf numFmtId="169" fontId="2" fillId="0" borderId="0" xfId="0" applyFont="1" applyBorder="1" applyAlignment="1">
      <alignment horizontal="left"/>
    </xf>
    <xf numFmtId="164" fontId="4" fillId="33" borderId="0" xfId="28" applyNumberFormat="1" applyFont="1" applyFill="1" applyAlignment="1"/>
    <xf numFmtId="169" fontId="4" fillId="33" borderId="0" xfId="0" applyFont="1" applyFill="1"/>
    <xf numFmtId="169" fontId="4" fillId="33" borderId="0" xfId="0" applyFont="1" applyFill="1" applyAlignment="1">
      <alignment horizontal="center"/>
    </xf>
    <xf numFmtId="169" fontId="5" fillId="33" borderId="0" xfId="0" applyFont="1" applyFill="1" applyAlignment="1">
      <alignment horizontal="center"/>
    </xf>
    <xf numFmtId="169" fontId="4" fillId="33" borderId="24" xfId="0" applyFont="1" applyFill="1" applyBorder="1" applyAlignment="1">
      <alignment horizontal="center"/>
    </xf>
    <xf numFmtId="169" fontId="4" fillId="33" borderId="25" xfId="0" applyFont="1" applyFill="1" applyBorder="1"/>
    <xf numFmtId="10" fontId="5" fillId="35" borderId="26" xfId="50" applyNumberFormat="1" applyFont="1" applyFill="1" applyBorder="1" applyAlignment="1">
      <alignment horizontal="center"/>
    </xf>
    <xf numFmtId="169" fontId="33" fillId="33" borderId="0" xfId="0" applyFont="1" applyFill="1" applyAlignment="1">
      <alignment horizontal="center"/>
    </xf>
    <xf numFmtId="169" fontId="33" fillId="33" borderId="0" xfId="0" applyFont="1" applyFill="1"/>
    <xf numFmtId="169" fontId="6" fillId="0" borderId="0" xfId="0" applyFont="1" applyBorder="1" applyAlignment="1">
      <alignment horizontal="center"/>
    </xf>
    <xf numFmtId="169" fontId="3" fillId="33" borderId="1" xfId="0" applyFont="1" applyFill="1" applyBorder="1"/>
    <xf numFmtId="169" fontId="3" fillId="33" borderId="0" xfId="0" applyFont="1" applyFill="1" applyBorder="1"/>
    <xf numFmtId="169" fontId="7" fillId="0" borderId="0" xfId="0" applyFont="1" applyBorder="1" applyAlignment="1">
      <alignment horizontal="left"/>
    </xf>
    <xf numFmtId="169" fontId="5" fillId="33" borderId="0" xfId="0" applyFont="1" applyFill="1" applyBorder="1"/>
    <xf numFmtId="165" fontId="5" fillId="33" borderId="0" xfId="28" applyNumberFormat="1" applyFont="1" applyFill="1" applyAlignment="1"/>
    <xf numFmtId="164" fontId="5" fillId="33" borderId="0" xfId="28" applyNumberFormat="1" applyFont="1" applyFill="1" applyAlignment="1"/>
    <xf numFmtId="10" fontId="5" fillId="33" borderId="0" xfId="50" applyNumberFormat="1" applyFont="1" applyFill="1" applyAlignment="1"/>
    <xf numFmtId="169" fontId="5" fillId="33" borderId="0" xfId="0" applyFont="1" applyFill="1"/>
    <xf numFmtId="169" fontId="34" fillId="33" borderId="0" xfId="0" applyFont="1" applyFill="1"/>
    <xf numFmtId="169" fontId="5" fillId="33" borderId="0" xfId="0" applyFont="1" applyFill="1" applyAlignment="1">
      <alignment horizontal="center" vertical="center"/>
    </xf>
    <xf numFmtId="164" fontId="4" fillId="33" borderId="25" xfId="28" applyNumberFormat="1" applyFont="1" applyFill="1" applyBorder="1" applyAlignment="1"/>
    <xf numFmtId="164" fontId="4" fillId="33" borderId="25" xfId="28" applyNumberFormat="1" applyFont="1" applyFill="1" applyBorder="1" applyAlignment="1">
      <alignment horizontal="right"/>
    </xf>
    <xf numFmtId="165" fontId="4" fillId="33" borderId="25" xfId="28" applyNumberFormat="1" applyFont="1" applyFill="1" applyBorder="1" applyAlignment="1"/>
    <xf numFmtId="169" fontId="4" fillId="33" borderId="24" xfId="0" applyFont="1" applyFill="1" applyBorder="1"/>
    <xf numFmtId="165" fontId="33" fillId="33" borderId="0" xfId="28" applyNumberFormat="1" applyFont="1" applyFill="1" applyAlignment="1">
      <alignment horizontal="right"/>
    </xf>
    <xf numFmtId="165" fontId="4" fillId="33" borderId="0" xfId="28" applyNumberFormat="1" applyFont="1" applyFill="1" applyAlignment="1"/>
    <xf numFmtId="10" fontId="4" fillId="33" borderId="0" xfId="50" applyNumberFormat="1" applyFont="1" applyFill="1" applyAlignment="1"/>
    <xf numFmtId="169" fontId="3" fillId="0" borderId="0" xfId="0" applyFont="1" applyBorder="1" applyAlignment="1"/>
    <xf numFmtId="169" fontId="5" fillId="0" borderId="0" xfId="0" applyFont="1" applyBorder="1" applyAlignment="1"/>
    <xf numFmtId="169" fontId="4" fillId="0" borderId="0" xfId="0" applyFont="1" applyBorder="1"/>
    <xf numFmtId="170" fontId="4" fillId="0" borderId="0" xfId="28" applyNumberFormat="1" applyFont="1" applyBorder="1"/>
    <xf numFmtId="10" fontId="4" fillId="0" borderId="0" xfId="50" applyNumberFormat="1" applyFont="1" applyBorder="1" applyAlignment="1">
      <alignment horizontal="center"/>
    </xf>
    <xf numFmtId="10" fontId="4" fillId="0" borderId="0" xfId="50" applyNumberFormat="1" applyFont="1" applyFill="1" applyBorder="1" applyAlignment="1">
      <alignment horizontal="center"/>
    </xf>
    <xf numFmtId="164" fontId="4" fillId="0" borderId="0" xfId="28" applyNumberFormat="1" applyFont="1" applyBorder="1"/>
    <xf numFmtId="166" fontId="4" fillId="0" borderId="0" xfId="5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9" fontId="4" fillId="0" borderId="0" xfId="0" applyFont="1" applyBorder="1" applyAlignment="1">
      <alignment horizontal="center"/>
    </xf>
    <xf numFmtId="169" fontId="5" fillId="0" borderId="2" xfId="0" applyFont="1" applyBorder="1" applyAlignment="1">
      <alignment horizontal="center"/>
    </xf>
    <xf numFmtId="169" fontId="4" fillId="0" borderId="0" xfId="0" applyFont="1" applyBorder="1" applyAlignment="1">
      <alignment horizontal="center" vertical="center"/>
    </xf>
    <xf numFmtId="170" fontId="4" fillId="0" borderId="25" xfId="28" applyNumberFormat="1" applyFont="1" applyBorder="1"/>
    <xf numFmtId="10" fontId="4" fillId="0" borderId="25" xfId="50" applyNumberFormat="1" applyFont="1" applyFill="1" applyBorder="1" applyAlignment="1">
      <alignment horizontal="center"/>
    </xf>
    <xf numFmtId="170" fontId="4" fillId="33" borderId="25" xfId="28" applyNumberFormat="1" applyFont="1" applyFill="1" applyBorder="1"/>
    <xf numFmtId="170" fontId="4" fillId="0" borderId="25" xfId="28" applyNumberFormat="1" applyFont="1" applyFill="1" applyBorder="1"/>
    <xf numFmtId="169" fontId="5" fillId="0" borderId="0" xfId="0" applyFont="1" applyBorder="1"/>
    <xf numFmtId="170" fontId="5" fillId="35" borderId="26" xfId="28" applyNumberFormat="1" applyFont="1" applyFill="1" applyBorder="1"/>
    <xf numFmtId="169" fontId="33" fillId="0" borderId="0" xfId="0" applyFont="1" applyBorder="1" applyAlignment="1">
      <alignment horizontal="center" vertical="center"/>
    </xf>
    <xf numFmtId="169" fontId="33" fillId="0" borderId="0" xfId="0" applyFont="1" applyBorder="1" applyAlignment="1">
      <alignment horizontal="center"/>
    </xf>
    <xf numFmtId="169" fontId="33" fillId="0" borderId="0" xfId="0" applyFont="1" applyBorder="1"/>
    <xf numFmtId="170" fontId="33" fillId="0" borderId="0" xfId="28" applyNumberFormat="1" applyFont="1" applyBorder="1"/>
    <xf numFmtId="10" fontId="33" fillId="0" borderId="0" xfId="50" applyNumberFormat="1" applyFont="1" applyBorder="1" applyAlignment="1">
      <alignment horizontal="center"/>
    </xf>
    <xf numFmtId="170" fontId="33" fillId="0" borderId="0" xfId="28" applyNumberFormat="1" applyFont="1" applyBorder="1" applyAlignment="1">
      <alignment horizontal="right"/>
    </xf>
    <xf numFmtId="170" fontId="32" fillId="0" borderId="0" xfId="28" applyNumberFormat="1" applyFont="1" applyBorder="1"/>
    <xf numFmtId="169" fontId="12" fillId="0" borderId="0" xfId="0" applyFont="1" applyBorder="1" applyAlignment="1">
      <alignment horizontal="left"/>
    </xf>
    <xf numFmtId="164" fontId="4" fillId="0" borderId="0" xfId="28" applyFont="1" applyBorder="1"/>
    <xf numFmtId="170" fontId="4" fillId="0" borderId="0" xfId="50" applyNumberFormat="1" applyFont="1" applyBorder="1"/>
    <xf numFmtId="9" fontId="4" fillId="0" borderId="0" xfId="50" applyFont="1" applyBorder="1" applyAlignment="1">
      <alignment horizontal="center"/>
    </xf>
    <xf numFmtId="169" fontId="3" fillId="33" borderId="0" xfId="28" applyNumberFormat="1" applyFont="1" applyFill="1" applyBorder="1" applyAlignment="1">
      <alignment horizontal="left"/>
    </xf>
    <xf numFmtId="169" fontId="10" fillId="33" borderId="3" xfId="0" applyFont="1" applyFill="1" applyBorder="1"/>
    <xf numFmtId="169" fontId="10" fillId="33" borderId="4" xfId="0" applyFont="1" applyFill="1" applyBorder="1"/>
    <xf numFmtId="169" fontId="10" fillId="33" borderId="0" xfId="0" applyFont="1" applyFill="1" applyBorder="1"/>
    <xf numFmtId="169" fontId="10" fillId="33" borderId="24" xfId="0" applyFont="1" applyFill="1" applyBorder="1" applyAlignment="1">
      <alignment horizontal="center"/>
    </xf>
    <xf numFmtId="169" fontId="11" fillId="33" borderId="3" xfId="0" applyFont="1" applyFill="1" applyBorder="1"/>
    <xf numFmtId="169" fontId="11" fillId="33" borderId="0" xfId="0" applyFont="1" applyFill="1" applyBorder="1"/>
    <xf numFmtId="169" fontId="9" fillId="33" borderId="3" xfId="0" applyFont="1" applyFill="1" applyBorder="1"/>
    <xf numFmtId="169" fontId="9" fillId="33" borderId="4" xfId="0" applyFont="1" applyFill="1" applyBorder="1"/>
    <xf numFmtId="169" fontId="9" fillId="33" borderId="0" xfId="0" applyFont="1" applyFill="1" applyBorder="1"/>
    <xf numFmtId="165" fontId="9" fillId="33" borderId="0" xfId="28" applyNumberFormat="1" applyFont="1" applyFill="1" applyBorder="1"/>
    <xf numFmtId="164" fontId="9" fillId="33" borderId="0" xfId="28" applyFont="1" applyFill="1" applyBorder="1"/>
    <xf numFmtId="166" fontId="9" fillId="33" borderId="0" xfId="50" applyNumberFormat="1" applyFont="1" applyFill="1" applyBorder="1"/>
    <xf numFmtId="166" fontId="9" fillId="33" borderId="0" xfId="50" applyNumberFormat="1" applyFont="1" applyFill="1" applyBorder="1" applyAlignment="1">
      <alignment horizontal="center"/>
    </xf>
    <xf numFmtId="10" fontId="9" fillId="33" borderId="0" xfId="50" applyNumberFormat="1" applyFont="1" applyFill="1" applyBorder="1" applyAlignment="1">
      <alignment horizontal="right"/>
    </xf>
    <xf numFmtId="165" fontId="9" fillId="33" borderId="0" xfId="28" applyNumberFormat="1" applyFont="1" applyFill="1" applyBorder="1" applyAlignment="1">
      <alignment horizontal="right"/>
    </xf>
    <xf numFmtId="174" fontId="36" fillId="33" borderId="0" xfId="28" applyNumberFormat="1" applyFont="1" applyFill="1" applyBorder="1"/>
    <xf numFmtId="169" fontId="37" fillId="33" borderId="0" xfId="0" applyFont="1" applyFill="1" applyBorder="1"/>
    <xf numFmtId="10" fontId="36" fillId="33" borderId="0" xfId="50" applyNumberFormat="1" applyFont="1" applyFill="1" applyBorder="1"/>
    <xf numFmtId="165" fontId="9" fillId="33" borderId="0" xfId="28" applyNumberFormat="1" applyFont="1" applyFill="1" applyBorder="1" applyAlignment="1">
      <alignment horizontal="center"/>
    </xf>
    <xf numFmtId="165" fontId="9" fillId="34" borderId="5" xfId="28" applyNumberFormat="1" applyFont="1" applyFill="1" applyBorder="1" applyAlignment="1">
      <alignment horizontal="center" vertical="center"/>
    </xf>
    <xf numFmtId="164" fontId="9" fillId="34" borderId="5" xfId="28" applyFont="1" applyFill="1" applyBorder="1" applyAlignment="1">
      <alignment horizontal="center" vertical="center"/>
    </xf>
    <xf numFmtId="164" fontId="9" fillId="34" borderId="5" xfId="28" applyFont="1" applyFill="1" applyBorder="1" applyAlignment="1">
      <alignment horizontal="center" vertical="center" wrapText="1"/>
    </xf>
    <xf numFmtId="169" fontId="9" fillId="34" borderId="5" xfId="0" applyFont="1" applyFill="1" applyBorder="1"/>
    <xf numFmtId="10" fontId="9" fillId="34" borderId="5" xfId="50" applyNumberFormat="1" applyFont="1" applyFill="1" applyBorder="1" applyAlignment="1">
      <alignment horizontal="center"/>
    </xf>
    <xf numFmtId="165" fontId="37" fillId="33" borderId="0" xfId="28" applyNumberFormat="1" applyFont="1" applyFill="1" applyBorder="1"/>
    <xf numFmtId="164" fontId="37" fillId="33" borderId="0" xfId="28" applyFont="1" applyFill="1" applyBorder="1"/>
    <xf numFmtId="169" fontId="37" fillId="33" borderId="4" xfId="0" applyFont="1" applyFill="1" applyBorder="1"/>
    <xf numFmtId="169" fontId="7" fillId="33" borderId="0" xfId="0" applyFont="1" applyFill="1" applyBorder="1"/>
    <xf numFmtId="165" fontId="7" fillId="33" borderId="0" xfId="28" applyNumberFormat="1" applyFont="1" applyFill="1" applyBorder="1" applyAlignment="1">
      <alignment horizontal="center"/>
    </xf>
    <xf numFmtId="165" fontId="35" fillId="33" borderId="0" xfId="28" applyNumberFormat="1" applyFont="1" applyFill="1" applyBorder="1"/>
    <xf numFmtId="166" fontId="35" fillId="33" borderId="0" xfId="50" applyNumberFormat="1" applyFont="1" applyFill="1" applyBorder="1"/>
    <xf numFmtId="165" fontId="7" fillId="33" borderId="0" xfId="28" applyNumberFormat="1" applyFont="1" applyFill="1" applyBorder="1"/>
    <xf numFmtId="169" fontId="3" fillId="33" borderId="6" xfId="0" applyFont="1" applyFill="1" applyBorder="1"/>
    <xf numFmtId="169" fontId="8" fillId="33" borderId="6" xfId="0" applyFont="1" applyFill="1" applyBorder="1"/>
    <xf numFmtId="165" fontId="8" fillId="33" borderId="6" xfId="28" applyNumberFormat="1" applyFont="1" applyFill="1" applyBorder="1"/>
    <xf numFmtId="169" fontId="10" fillId="33" borderId="7" xfId="0" applyFont="1" applyFill="1" applyBorder="1"/>
    <xf numFmtId="169" fontId="9" fillId="33" borderId="6" xfId="0" applyFont="1" applyFill="1" applyBorder="1"/>
    <xf numFmtId="169" fontId="10" fillId="33" borderId="6" xfId="0" applyFont="1" applyFill="1" applyBorder="1"/>
    <xf numFmtId="165" fontId="10" fillId="33" borderId="6" xfId="28" applyNumberFormat="1" applyFont="1" applyFill="1" applyBorder="1"/>
    <xf numFmtId="164" fontId="10" fillId="33" borderId="6" xfId="28" applyFont="1" applyFill="1" applyBorder="1"/>
    <xf numFmtId="10" fontId="10" fillId="33" borderId="6" xfId="50" applyNumberFormat="1" applyFont="1" applyFill="1" applyBorder="1"/>
    <xf numFmtId="167" fontId="36" fillId="33" borderId="6" xfId="28" applyNumberFormat="1" applyFont="1" applyFill="1" applyBorder="1"/>
    <xf numFmtId="164" fontId="36" fillId="33" borderId="6" xfId="28" applyFont="1" applyFill="1" applyBorder="1"/>
    <xf numFmtId="169" fontId="10" fillId="33" borderId="8" xfId="0" applyFont="1" applyFill="1" applyBorder="1"/>
    <xf numFmtId="168" fontId="9" fillId="33" borderId="0" xfId="28" applyNumberFormat="1" applyFont="1" applyFill="1" applyBorder="1"/>
    <xf numFmtId="167" fontId="37" fillId="33" borderId="0" xfId="28" applyNumberFormat="1" applyFont="1" applyFill="1" applyBorder="1"/>
    <xf numFmtId="165" fontId="10" fillId="33" borderId="0" xfId="28" applyNumberFormat="1" applyFont="1" applyFill="1" applyBorder="1"/>
    <xf numFmtId="9" fontId="10" fillId="33" borderId="0" xfId="50" applyFont="1" applyFill="1" applyBorder="1"/>
    <xf numFmtId="164" fontId="10" fillId="33" borderId="0" xfId="28" applyFont="1" applyFill="1" applyBorder="1"/>
    <xf numFmtId="167" fontId="36" fillId="33" borderId="0" xfId="28" applyNumberFormat="1" applyFont="1" applyFill="1" applyBorder="1"/>
    <xf numFmtId="169" fontId="9" fillId="33" borderId="3" xfId="0" applyFont="1" applyFill="1" applyBorder="1" applyAlignment="1">
      <alignment horizontal="center" vertical="center"/>
    </xf>
    <xf numFmtId="169" fontId="9" fillId="33" borderId="4" xfId="0" applyFont="1" applyFill="1" applyBorder="1" applyAlignment="1">
      <alignment horizontal="center" vertical="center"/>
    </xf>
    <xf numFmtId="169" fontId="9" fillId="33" borderId="0" xfId="0" applyFont="1" applyFill="1" applyBorder="1" applyAlignment="1">
      <alignment horizontal="center" vertical="center"/>
    </xf>
    <xf numFmtId="169" fontId="10" fillId="33" borderId="24" xfId="37" applyFont="1" applyFill="1" applyBorder="1" applyAlignment="1" applyProtection="1">
      <alignment horizontal="center"/>
    </xf>
    <xf numFmtId="169" fontId="10" fillId="33" borderId="25" xfId="37" applyFont="1" applyFill="1" applyBorder="1" applyAlignment="1" applyProtection="1">
      <alignment horizontal="center"/>
    </xf>
    <xf numFmtId="165" fontId="10" fillId="33" borderId="25" xfId="28" applyNumberFormat="1" applyFont="1" applyFill="1" applyBorder="1" applyAlignment="1" applyProtection="1"/>
    <xf numFmtId="165" fontId="10" fillId="0" borderId="25" xfId="28" applyNumberFormat="1" applyFont="1" applyBorder="1"/>
    <xf numFmtId="10" fontId="9" fillId="0" borderId="25" xfId="50" applyNumberFormat="1" applyFont="1" applyFill="1" applyBorder="1" applyAlignment="1" applyProtection="1">
      <alignment horizontal="center"/>
    </xf>
    <xf numFmtId="10" fontId="10" fillId="33" borderId="25" xfId="50" applyNumberFormat="1" applyFont="1" applyFill="1" applyBorder="1" applyAlignment="1" applyProtection="1">
      <alignment horizontal="center"/>
    </xf>
    <xf numFmtId="164" fontId="10" fillId="33" borderId="25" xfId="28" applyNumberFormat="1" applyFont="1" applyFill="1" applyBorder="1" applyAlignment="1" applyProtection="1"/>
    <xf numFmtId="10" fontId="10" fillId="33" borderId="29" xfId="50" applyNumberFormat="1" applyFont="1" applyFill="1" applyBorder="1" applyAlignment="1" applyProtection="1">
      <alignment horizontal="center"/>
    </xf>
    <xf numFmtId="169" fontId="38" fillId="33" borderId="0" xfId="0" applyFont="1" applyFill="1" applyBorder="1"/>
    <xf numFmtId="169" fontId="36" fillId="33" borderId="3" xfId="0" applyFont="1" applyFill="1" applyBorder="1"/>
    <xf numFmtId="169" fontId="36" fillId="33" borderId="0" xfId="0" applyFont="1" applyFill="1" applyBorder="1"/>
    <xf numFmtId="165" fontId="36" fillId="33" borderId="0" xfId="28" applyNumberFormat="1" applyFont="1" applyFill="1" applyBorder="1"/>
    <xf numFmtId="10" fontId="36" fillId="33" borderId="0" xfId="50" applyNumberFormat="1" applyFont="1" applyFill="1" applyBorder="1" applyAlignment="1">
      <alignment horizontal="center"/>
    </xf>
    <xf numFmtId="164" fontId="36" fillId="33" borderId="0" xfId="28" applyFont="1" applyFill="1" applyBorder="1"/>
    <xf numFmtId="165" fontId="36" fillId="33" borderId="0" xfId="28" applyNumberFormat="1" applyFont="1" applyFill="1" applyBorder="1" applyAlignment="1">
      <alignment horizontal="right"/>
    </xf>
    <xf numFmtId="165" fontId="36" fillId="33" borderId="4" xfId="28" applyNumberFormat="1" applyFont="1" applyFill="1" applyBorder="1" applyAlignment="1">
      <alignment horizontal="right"/>
    </xf>
    <xf numFmtId="166" fontId="10" fillId="33" borderId="0" xfId="50" applyNumberFormat="1" applyFont="1" applyFill="1" applyBorder="1"/>
    <xf numFmtId="169" fontId="9" fillId="34" borderId="0" xfId="0" applyFont="1" applyFill="1" applyBorder="1"/>
    <xf numFmtId="165" fontId="9" fillId="34" borderId="0" xfId="28" applyNumberFormat="1" applyFont="1" applyFill="1" applyBorder="1" applyAlignment="1">
      <alignment horizontal="center"/>
    </xf>
    <xf numFmtId="164" fontId="9" fillId="34" borderId="0" xfId="28" applyFont="1" applyFill="1" applyBorder="1" applyAlignment="1">
      <alignment horizontal="center"/>
    </xf>
    <xf numFmtId="165" fontId="9" fillId="34" borderId="0" xfId="28" applyNumberFormat="1" applyFont="1" applyFill="1" applyBorder="1"/>
    <xf numFmtId="166" fontId="9" fillId="34" borderId="0" xfId="50" applyNumberFormat="1" applyFont="1" applyFill="1" applyBorder="1"/>
    <xf numFmtId="165" fontId="10" fillId="33" borderId="0" xfId="28" applyNumberFormat="1" applyFont="1" applyFill="1" applyBorder="1" applyAlignment="1">
      <alignment horizontal="center"/>
    </xf>
    <xf numFmtId="10" fontId="10" fillId="33" borderId="0" xfId="50" applyNumberFormat="1" applyFont="1" applyFill="1" applyBorder="1"/>
    <xf numFmtId="169" fontId="10" fillId="33" borderId="9" xfId="0" applyFont="1" applyFill="1" applyBorder="1"/>
    <xf numFmtId="169" fontId="10" fillId="33" borderId="10" xfId="0" applyFont="1" applyFill="1" applyBorder="1"/>
    <xf numFmtId="165" fontId="10" fillId="33" borderId="10" xfId="28" applyNumberFormat="1" applyFont="1" applyFill="1" applyBorder="1"/>
    <xf numFmtId="164" fontId="10" fillId="33" borderId="10" xfId="28" applyFont="1" applyFill="1" applyBorder="1"/>
    <xf numFmtId="166" fontId="10" fillId="33" borderId="10" xfId="50" applyNumberFormat="1" applyFont="1" applyFill="1" applyBorder="1"/>
    <xf numFmtId="169" fontId="10" fillId="33" borderId="11" xfId="0" applyFont="1" applyFill="1" applyBorder="1"/>
    <xf numFmtId="165" fontId="36" fillId="33" borderId="6" xfId="28" applyNumberFormat="1" applyFont="1" applyFill="1" applyBorder="1"/>
    <xf numFmtId="169" fontId="36" fillId="33" borderId="8" xfId="0" applyFont="1" applyFill="1" applyBorder="1"/>
    <xf numFmtId="166" fontId="36" fillId="33" borderId="0" xfId="50" applyNumberFormat="1" applyFont="1" applyFill="1" applyBorder="1"/>
    <xf numFmtId="169" fontId="36" fillId="33" borderId="4" xfId="0" applyFont="1" applyFill="1" applyBorder="1"/>
    <xf numFmtId="165" fontId="36" fillId="0" borderId="0" xfId="28" applyNumberFormat="1" applyFont="1" applyFill="1" applyBorder="1"/>
    <xf numFmtId="3" fontId="39" fillId="0" borderId="5" xfId="28" applyNumberFormat="1" applyFont="1" applyFill="1" applyBorder="1" applyAlignment="1" applyProtection="1"/>
    <xf numFmtId="10" fontId="9" fillId="33" borderId="5" xfId="50" applyNumberFormat="1" applyFont="1" applyFill="1" applyBorder="1" applyAlignment="1" applyProtection="1">
      <alignment horizontal="center"/>
    </xf>
    <xf numFmtId="165" fontId="9" fillId="34" borderId="5" xfId="28" applyNumberFormat="1" applyFont="1" applyFill="1" applyBorder="1"/>
    <xf numFmtId="169" fontId="38" fillId="33" borderId="4" xfId="0" applyFont="1" applyFill="1" applyBorder="1"/>
    <xf numFmtId="166" fontId="38" fillId="33" borderId="0" xfId="50" applyNumberFormat="1" applyFont="1" applyFill="1" applyBorder="1"/>
    <xf numFmtId="165" fontId="36" fillId="33" borderId="10" xfId="28" applyNumberFormat="1" applyFont="1" applyFill="1" applyBorder="1"/>
    <xf numFmtId="164" fontId="36" fillId="33" borderId="10" xfId="28" applyFont="1" applyFill="1" applyBorder="1"/>
    <xf numFmtId="169" fontId="36" fillId="33" borderId="11" xfId="0" applyFont="1" applyFill="1" applyBorder="1"/>
    <xf numFmtId="169" fontId="7" fillId="33" borderId="0" xfId="0" applyFont="1" applyFill="1" applyBorder="1" applyAlignment="1">
      <alignment horizontal="right"/>
    </xf>
    <xf numFmtId="174" fontId="7" fillId="33" borderId="0" xfId="28" applyNumberFormat="1" applyFont="1" applyFill="1" applyBorder="1" applyAlignment="1">
      <alignment horizontal="center"/>
    </xf>
    <xf numFmtId="170" fontId="40" fillId="0" borderId="0" xfId="28" applyNumberFormat="1" applyFont="1" applyBorder="1"/>
    <xf numFmtId="169" fontId="36" fillId="33" borderId="0" xfId="0" applyFont="1" applyFill="1" applyBorder="1" applyAlignment="1">
      <alignment horizontal="right"/>
    </xf>
    <xf numFmtId="10" fontId="33" fillId="33" borderId="0" xfId="28" applyNumberFormat="1" applyFont="1" applyFill="1" applyAlignment="1">
      <alignment horizontal="right"/>
    </xf>
    <xf numFmtId="10" fontId="5" fillId="33" borderId="0" xfId="0" applyNumberFormat="1" applyFont="1" applyFill="1" applyAlignment="1"/>
    <xf numFmtId="10" fontId="4" fillId="33" borderId="25" xfId="50" applyNumberFormat="1" applyFont="1" applyFill="1" applyBorder="1" applyAlignment="1"/>
    <xf numFmtId="10" fontId="4" fillId="33" borderId="0" xfId="0" applyNumberFormat="1" applyFont="1" applyFill="1" applyAlignment="1"/>
    <xf numFmtId="43" fontId="5" fillId="33" borderId="0" xfId="28" applyNumberFormat="1" applyFont="1" applyFill="1" applyAlignment="1"/>
    <xf numFmtId="43" fontId="33" fillId="33" borderId="0" xfId="28" applyNumberFormat="1" applyFont="1" applyFill="1" applyAlignment="1">
      <alignment horizontal="right"/>
    </xf>
    <xf numFmtId="43" fontId="4" fillId="33" borderId="0" xfId="28" applyNumberFormat="1" applyFont="1" applyFill="1" applyAlignment="1"/>
    <xf numFmtId="170" fontId="40" fillId="0" borderId="0" xfId="28" applyNumberFormat="1" applyFont="1" applyFill="1" applyBorder="1" applyAlignment="1">
      <alignment horizontal="right"/>
    </xf>
    <xf numFmtId="10" fontId="40" fillId="0" borderId="0" xfId="50" applyNumberFormat="1" applyFont="1" applyFill="1" applyBorder="1" applyAlignment="1">
      <alignment horizontal="center"/>
    </xf>
    <xf numFmtId="170" fontId="4" fillId="0" borderId="0" xfId="28" applyNumberFormat="1" applyFont="1" applyFill="1" applyBorder="1"/>
    <xf numFmtId="173" fontId="36" fillId="33" borderId="0" xfId="28" applyNumberFormat="1" applyFont="1" applyFill="1" applyBorder="1" applyAlignment="1">
      <alignment horizontal="center"/>
    </xf>
    <xf numFmtId="167" fontId="39" fillId="33" borderId="0" xfId="28" applyNumberFormat="1" applyFont="1" applyFill="1" applyBorder="1"/>
    <xf numFmtId="169" fontId="32" fillId="0" borderId="0" xfId="0" applyFont="1" applyBorder="1" applyAlignment="1">
      <alignment horizontal="center" vertical="center"/>
    </xf>
    <xf numFmtId="10" fontId="32" fillId="0" borderId="0" xfId="0" applyNumberFormat="1" applyFont="1" applyBorder="1" applyAlignment="1">
      <alignment horizontal="center" vertical="center"/>
    </xf>
    <xf numFmtId="166" fontId="32" fillId="0" borderId="0" xfId="50" applyNumberFormat="1" applyFont="1" applyBorder="1" applyAlignment="1">
      <alignment horizontal="center"/>
    </xf>
    <xf numFmtId="10" fontId="32" fillId="0" borderId="0" xfId="50" applyNumberFormat="1" applyFont="1" applyFill="1" applyBorder="1" applyAlignment="1">
      <alignment horizontal="center"/>
    </xf>
    <xf numFmtId="10" fontId="32" fillId="0" borderId="0" xfId="50" applyNumberFormat="1" applyFont="1" applyBorder="1" applyAlignment="1">
      <alignment horizontal="center"/>
    </xf>
    <xf numFmtId="10" fontId="41" fillId="0" borderId="0" xfId="50" applyNumberFormat="1" applyFont="1" applyBorder="1" applyAlignment="1">
      <alignment horizontal="center"/>
    </xf>
    <xf numFmtId="15" fontId="4" fillId="0" borderId="25" xfId="0" applyNumberFormat="1" applyFont="1" applyFill="1" applyBorder="1" applyAlignment="1">
      <alignment horizontal="center"/>
    </xf>
    <xf numFmtId="169" fontId="5" fillId="0" borderId="0" xfId="0" applyFont="1" applyBorder="1" applyAlignment="1">
      <alignment horizontal="left"/>
    </xf>
    <xf numFmtId="169" fontId="4" fillId="0" borderId="0" xfId="0" applyFont="1" applyBorder="1" applyAlignment="1">
      <alignment horizontal="left"/>
    </xf>
    <xf numFmtId="10" fontId="9" fillId="33" borderId="0" xfId="0" applyNumberFormat="1" applyFont="1" applyFill="1" applyBorder="1"/>
    <xf numFmtId="165" fontId="9" fillId="33" borderId="0" xfId="0" applyNumberFormat="1" applyFont="1" applyFill="1" applyBorder="1"/>
    <xf numFmtId="165" fontId="9" fillId="33" borderId="5" xfId="28" applyNumberFormat="1" applyFont="1" applyFill="1" applyBorder="1" applyAlignment="1" applyProtection="1"/>
    <xf numFmtId="10" fontId="4" fillId="0" borderId="29" xfId="0" applyNumberFormat="1" applyFont="1" applyBorder="1" applyAlignment="1">
      <alignment horizontal="center"/>
    </xf>
    <xf numFmtId="170" fontId="5" fillId="0" borderId="0" xfId="50" applyNumberFormat="1" applyFont="1" applyBorder="1" applyAlignment="1">
      <alignment horizontal="center"/>
    </xf>
    <xf numFmtId="170" fontId="32" fillId="0" borderId="0" xfId="28" applyNumberFormat="1" applyFont="1" applyBorder="1" applyAlignment="1">
      <alignment horizontal="center" vertical="center"/>
    </xf>
    <xf numFmtId="169" fontId="9" fillId="36" borderId="21" xfId="0" applyFont="1" applyFill="1" applyBorder="1" applyAlignment="1">
      <alignment horizontal="center" vertical="center"/>
    </xf>
    <xf numFmtId="169" fontId="9" fillId="36" borderId="22" xfId="0" applyFont="1" applyFill="1" applyBorder="1" applyAlignment="1">
      <alignment horizontal="center" vertical="center"/>
    </xf>
    <xf numFmtId="165" fontId="9" fillId="36" borderId="22" xfId="28" applyNumberFormat="1" applyFont="1" applyFill="1" applyBorder="1" applyAlignment="1">
      <alignment horizontal="center" vertical="center"/>
    </xf>
    <xf numFmtId="164" fontId="9" fillId="36" borderId="22" xfId="28" applyFont="1" applyFill="1" applyBorder="1" applyAlignment="1">
      <alignment horizontal="center" vertical="center"/>
    </xf>
    <xf numFmtId="165" fontId="9" fillId="36" borderId="22" xfId="28" applyNumberFormat="1" applyFont="1" applyFill="1" applyBorder="1" applyAlignment="1">
      <alignment horizontal="center" vertical="center" wrapText="1"/>
    </xf>
    <xf numFmtId="166" fontId="9" fillId="36" borderId="22" xfId="50" applyNumberFormat="1" applyFont="1" applyFill="1" applyBorder="1" applyAlignment="1">
      <alignment horizontal="center" vertical="center"/>
    </xf>
    <xf numFmtId="166" fontId="9" fillId="36" borderId="23" xfId="50" applyNumberFormat="1" applyFont="1" applyFill="1" applyBorder="1" applyAlignment="1">
      <alignment horizontal="center" vertical="center" wrapText="1"/>
    </xf>
    <xf numFmtId="170" fontId="33" fillId="0" borderId="0" xfId="28" applyNumberFormat="1" applyFont="1" applyFill="1" applyBorder="1" applyAlignment="1">
      <alignment horizontal="center" vertical="center"/>
    </xf>
    <xf numFmtId="10" fontId="33" fillId="0" borderId="0" xfId="50" applyNumberFormat="1" applyFont="1" applyFill="1" applyBorder="1" applyAlignment="1">
      <alignment horizontal="center"/>
    </xf>
    <xf numFmtId="10" fontId="42" fillId="0" borderId="0" xfId="50" applyNumberFormat="1" applyFont="1" applyFill="1" applyBorder="1" applyAlignment="1">
      <alignment horizontal="right"/>
    </xf>
    <xf numFmtId="172" fontId="32" fillId="0" borderId="0" xfId="28" applyNumberFormat="1" applyFont="1" applyFill="1" applyBorder="1" applyAlignment="1">
      <alignment horizontal="center" vertical="center"/>
    </xf>
    <xf numFmtId="43" fontId="32" fillId="0" borderId="0" xfId="50" applyNumberFormat="1" applyFont="1" applyFill="1" applyBorder="1" applyAlignment="1">
      <alignment horizontal="center" vertical="center"/>
    </xf>
    <xf numFmtId="170" fontId="32" fillId="0" borderId="0" xfId="28" applyNumberFormat="1" applyFont="1" applyFill="1" applyBorder="1" applyAlignment="1">
      <alignment horizontal="right"/>
    </xf>
    <xf numFmtId="170" fontId="32" fillId="0" borderId="0" xfId="28" applyNumberFormat="1" applyFont="1" applyFill="1" applyBorder="1" applyAlignment="1">
      <alignment horizontal="center"/>
    </xf>
    <xf numFmtId="170" fontId="32" fillId="0" borderId="0" xfId="28" applyNumberFormat="1" applyFont="1" applyFill="1" applyBorder="1"/>
    <xf numFmtId="170" fontId="43" fillId="0" borderId="0" xfId="28" applyNumberFormat="1" applyFont="1" applyFill="1" applyBorder="1"/>
    <xf numFmtId="10" fontId="43" fillId="0" borderId="0" xfId="50" applyNumberFormat="1" applyFont="1" applyFill="1" applyBorder="1" applyAlignment="1">
      <alignment horizontal="center"/>
    </xf>
    <xf numFmtId="171" fontId="32" fillId="0" borderId="0" xfId="50" applyNumberFormat="1" applyFont="1" applyFill="1" applyBorder="1"/>
    <xf numFmtId="10" fontId="32" fillId="0" borderId="0" xfId="50" applyNumberFormat="1" applyFont="1" applyFill="1" applyBorder="1"/>
    <xf numFmtId="168" fontId="32" fillId="0" borderId="0" xfId="28" applyNumberFormat="1" applyFont="1" applyFill="1" applyBorder="1"/>
    <xf numFmtId="172" fontId="33" fillId="0" borderId="0" xfId="28" applyNumberFormat="1" applyFont="1" applyBorder="1" applyAlignment="1">
      <alignment horizontal="center" vertical="center"/>
    </xf>
    <xf numFmtId="166" fontId="33" fillId="0" borderId="0" xfId="50" applyNumberFormat="1" applyFont="1" applyBorder="1" applyAlignment="1">
      <alignment horizontal="center"/>
    </xf>
    <xf numFmtId="169" fontId="3" fillId="33" borderId="0" xfId="28" applyNumberFormat="1" applyFont="1" applyFill="1" applyAlignment="1"/>
    <xf numFmtId="169" fontId="44" fillId="0" borderId="25" xfId="0" applyFont="1" applyFill="1" applyBorder="1"/>
    <xf numFmtId="164" fontId="32" fillId="0" borderId="0" xfId="28" applyNumberFormat="1" applyFont="1" applyFill="1" applyBorder="1" applyAlignment="1">
      <alignment horizontal="center" vertical="center"/>
    </xf>
    <xf numFmtId="43" fontId="5" fillId="35" borderId="26" xfId="28" applyNumberFormat="1" applyFont="1" applyFill="1" applyBorder="1"/>
    <xf numFmtId="43" fontId="32" fillId="0" borderId="0" xfId="28" applyNumberFormat="1" applyFont="1" applyFill="1" applyAlignment="1"/>
    <xf numFmtId="169" fontId="38" fillId="33" borderId="3" xfId="0" applyFont="1" applyFill="1" applyBorder="1"/>
    <xf numFmtId="164" fontId="39" fillId="34" borderId="5" xfId="28" applyFont="1" applyFill="1" applyBorder="1" applyAlignment="1">
      <alignment horizontal="center"/>
    </xf>
    <xf numFmtId="164" fontId="38" fillId="33" borderId="0" xfId="28" applyFont="1" applyFill="1" applyBorder="1"/>
    <xf numFmtId="164" fontId="34" fillId="0" borderId="0" xfId="28" applyNumberFormat="1" applyFont="1" applyFill="1" applyAlignment="1"/>
    <xf numFmtId="10" fontId="5" fillId="36" borderId="22" xfId="0" applyNumberFormat="1" applyFont="1" applyFill="1" applyBorder="1" applyAlignment="1">
      <alignment horizontal="center" vertical="center" wrapText="1"/>
    </xf>
    <xf numFmtId="10" fontId="5" fillId="36" borderId="0" xfId="0" applyNumberFormat="1" applyFont="1" applyFill="1" applyBorder="1" applyAlignment="1">
      <alignment horizontal="center" vertical="center" wrapText="1"/>
    </xf>
    <xf numFmtId="10" fontId="4" fillId="33" borderId="0" xfId="50" applyNumberFormat="1" applyFont="1" applyFill="1" applyBorder="1" applyAlignment="1">
      <alignment horizontal="right"/>
    </xf>
    <xf numFmtId="164" fontId="34" fillId="33" borderId="0" xfId="28" applyNumberFormat="1" applyFont="1" applyFill="1" applyAlignment="1"/>
    <xf numFmtId="3" fontId="45" fillId="34" borderId="5" xfId="28" applyNumberFormat="1" applyFont="1" applyFill="1" applyBorder="1"/>
    <xf numFmtId="166" fontId="36" fillId="33" borderId="4" xfId="50" applyNumberFormat="1" applyFont="1" applyFill="1" applyBorder="1"/>
    <xf numFmtId="10" fontId="5" fillId="33" borderId="25" xfId="28" applyNumberFormat="1" applyFont="1" applyFill="1" applyBorder="1" applyAlignment="1"/>
    <xf numFmtId="165" fontId="40" fillId="33" borderId="0" xfId="28" applyNumberFormat="1" applyFont="1" applyFill="1" applyAlignment="1">
      <alignment horizontal="right"/>
    </xf>
    <xf numFmtId="169" fontId="5" fillId="36" borderId="22" xfId="0" applyFont="1" applyFill="1" applyBorder="1" applyAlignment="1">
      <alignment horizontal="center" vertical="center" wrapText="1"/>
    </xf>
    <xf numFmtId="170" fontId="5" fillId="36" borderId="22" xfId="28" applyNumberFormat="1" applyFont="1" applyFill="1" applyBorder="1" applyAlignment="1">
      <alignment horizontal="center" vertical="center" wrapText="1"/>
    </xf>
    <xf numFmtId="10" fontId="5" fillId="36" borderId="22" xfId="50" applyNumberFormat="1" applyFont="1" applyFill="1" applyBorder="1" applyAlignment="1">
      <alignment horizontal="center" vertical="center" wrapText="1"/>
    </xf>
    <xf numFmtId="166" fontId="5" fillId="36" borderId="22" xfId="50" applyNumberFormat="1" applyFont="1" applyFill="1" applyBorder="1" applyAlignment="1">
      <alignment horizontal="center" vertical="center" wrapText="1"/>
    </xf>
    <xf numFmtId="169" fontId="5" fillId="36" borderId="23" xfId="0" applyFont="1" applyFill="1" applyBorder="1" applyAlignment="1">
      <alignment horizontal="center" vertical="center" wrapText="1"/>
    </xf>
    <xf numFmtId="41" fontId="10" fillId="33" borderId="25" xfId="55" applyFont="1" applyFill="1" applyBorder="1" applyAlignment="1" applyProtection="1"/>
    <xf numFmtId="41" fontId="10" fillId="0" borderId="25" xfId="55" applyFont="1" applyFill="1" applyBorder="1" applyAlignment="1" applyProtection="1"/>
    <xf numFmtId="169" fontId="11" fillId="37" borderId="24" xfId="0" applyFont="1" applyFill="1" applyBorder="1" applyAlignment="1">
      <alignment horizontal="center"/>
    </xf>
    <xf numFmtId="169" fontId="11" fillId="37" borderId="25" xfId="0" applyFont="1" applyFill="1" applyBorder="1" applyAlignment="1">
      <alignment horizontal="center"/>
    </xf>
    <xf numFmtId="164" fontId="11" fillId="37" borderId="25" xfId="28" applyNumberFormat="1" applyFont="1" applyFill="1" applyBorder="1"/>
    <xf numFmtId="169" fontId="9" fillId="37" borderId="24" xfId="0" applyFont="1" applyFill="1" applyBorder="1" applyAlignment="1">
      <alignment horizontal="center"/>
    </xf>
    <xf numFmtId="169" fontId="9" fillId="37" borderId="25" xfId="0" applyFont="1" applyFill="1" applyBorder="1" applyAlignment="1">
      <alignment horizontal="center"/>
    </xf>
    <xf numFmtId="165" fontId="11" fillId="37" borderId="25" xfId="28" applyNumberFormat="1" applyFont="1" applyFill="1" applyBorder="1" applyAlignment="1" applyProtection="1"/>
    <xf numFmtId="10" fontId="11" fillId="37" borderId="25" xfId="50" applyNumberFormat="1" applyFont="1" applyFill="1" applyBorder="1" applyAlignment="1" applyProtection="1">
      <alignment horizontal="center"/>
    </xf>
    <xf numFmtId="10" fontId="11" fillId="37" borderId="25" xfId="28" applyNumberFormat="1" applyFont="1" applyFill="1" applyBorder="1"/>
    <xf numFmtId="41" fontId="11" fillId="37" borderId="25" xfId="55" applyFont="1" applyFill="1" applyBorder="1" applyAlignment="1" applyProtection="1"/>
    <xf numFmtId="10" fontId="11" fillId="37" borderId="29" xfId="50" applyNumberFormat="1" applyFont="1" applyFill="1" applyBorder="1" applyAlignment="1" applyProtection="1">
      <alignment horizontal="center"/>
    </xf>
    <xf numFmtId="169" fontId="9" fillId="36" borderId="30" xfId="0" applyFont="1" applyFill="1" applyBorder="1" applyAlignment="1"/>
    <xf numFmtId="169" fontId="47" fillId="33" borderId="0" xfId="0" applyFont="1" applyFill="1"/>
    <xf numFmtId="169" fontId="5" fillId="34" borderId="21" xfId="0" applyFont="1" applyFill="1" applyBorder="1" applyAlignment="1">
      <alignment horizontal="center" vertical="center" wrapText="1"/>
    </xf>
    <xf numFmtId="169" fontId="5" fillId="34" borderId="22" xfId="0" applyFont="1" applyFill="1" applyBorder="1" applyAlignment="1">
      <alignment horizontal="left" vertical="center" wrapText="1"/>
    </xf>
    <xf numFmtId="165" fontId="5" fillId="36" borderId="22" xfId="28" applyNumberFormat="1" applyFont="1" applyFill="1" applyBorder="1" applyAlignment="1">
      <alignment horizontal="center" vertical="center" wrapText="1"/>
    </xf>
    <xf numFmtId="164" fontId="5" fillId="36" borderId="22" xfId="28" applyNumberFormat="1" applyFont="1" applyFill="1" applyBorder="1" applyAlignment="1">
      <alignment horizontal="center" vertical="center" wrapText="1"/>
    </xf>
    <xf numFmtId="43" fontId="5" fillId="36" borderId="22" xfId="28" applyNumberFormat="1" applyFont="1" applyFill="1" applyBorder="1" applyAlignment="1">
      <alignment horizontal="center" vertical="center" wrapText="1"/>
    </xf>
    <xf numFmtId="9" fontId="4" fillId="33" borderId="25" xfId="50" applyFont="1" applyFill="1" applyBorder="1" applyAlignment="1"/>
    <xf numFmtId="169" fontId="5" fillId="38" borderId="27" xfId="0" applyFont="1" applyFill="1" applyBorder="1" applyAlignment="1"/>
    <xf numFmtId="169" fontId="5" fillId="38" borderId="24" xfId="0" applyFont="1" applyFill="1" applyBorder="1" applyAlignment="1">
      <alignment horizontal="center"/>
    </xf>
    <xf numFmtId="164" fontId="5" fillId="38" borderId="25" xfId="28" applyNumberFormat="1" applyFont="1" applyFill="1" applyBorder="1" applyAlignment="1"/>
    <xf numFmtId="10" fontId="5" fillId="38" borderId="25" xfId="28" applyNumberFormat="1" applyFont="1" applyFill="1" applyBorder="1" applyAlignment="1"/>
    <xf numFmtId="174" fontId="5" fillId="38" borderId="25" xfId="28" applyNumberFormat="1" applyFont="1" applyFill="1" applyBorder="1" applyAlignment="1"/>
    <xf numFmtId="164" fontId="5" fillId="38" borderId="25" xfId="28" applyNumberFormat="1" applyFont="1" applyFill="1" applyBorder="1" applyAlignment="1">
      <alignment horizontal="right"/>
    </xf>
    <xf numFmtId="9" fontId="5" fillId="38" borderId="25" xfId="50" applyFont="1" applyFill="1" applyBorder="1" applyAlignment="1"/>
    <xf numFmtId="10" fontId="5" fillId="38" borderId="25" xfId="50" applyNumberFormat="1" applyFont="1" applyFill="1" applyBorder="1" applyAlignment="1"/>
    <xf numFmtId="1" fontId="4" fillId="0" borderId="25" xfId="28" applyNumberFormat="1" applyFont="1" applyFill="1" applyBorder="1" applyAlignment="1">
      <alignment horizontal="left"/>
    </xf>
    <xf numFmtId="175" fontId="10" fillId="0" borderId="25" xfId="55" applyNumberFormat="1" applyFont="1" applyBorder="1"/>
    <xf numFmtId="175" fontId="11" fillId="37" borderId="25" xfId="55" applyNumberFormat="1" applyFont="1" applyFill="1" applyBorder="1"/>
    <xf numFmtId="10" fontId="4" fillId="0" borderId="25" xfId="50" applyNumberFormat="1" applyFont="1" applyBorder="1"/>
    <xf numFmtId="165" fontId="10" fillId="0" borderId="25" xfId="55" applyNumberFormat="1" applyFont="1" applyBorder="1"/>
    <xf numFmtId="165" fontId="38" fillId="0" borderId="0" xfId="28" applyNumberFormat="1" applyFont="1" applyFill="1" applyBorder="1"/>
    <xf numFmtId="165" fontId="39" fillId="0" borderId="0" xfId="28" applyNumberFormat="1" applyFont="1" applyFill="1" applyBorder="1"/>
    <xf numFmtId="165" fontId="38" fillId="33" borderId="0" xfId="28" applyNumberFormat="1" applyFont="1" applyFill="1" applyBorder="1"/>
    <xf numFmtId="168" fontId="38" fillId="33" borderId="0" xfId="28" applyNumberFormat="1" applyFont="1" applyFill="1" applyBorder="1"/>
    <xf numFmtId="165" fontId="38" fillId="0" borderId="0" xfId="28" applyNumberFormat="1" applyFont="1" applyFill="1" applyBorder="1" applyAlignment="1">
      <alignment horizontal="right"/>
    </xf>
    <xf numFmtId="169" fontId="39" fillId="0" borderId="0" xfId="0" applyFont="1" applyFill="1" applyBorder="1" applyAlignment="1">
      <alignment horizontal="right"/>
    </xf>
    <xf numFmtId="10" fontId="38" fillId="0" borderId="0" xfId="50" applyNumberFormat="1" applyFont="1" applyFill="1" applyBorder="1"/>
    <xf numFmtId="165" fontId="38" fillId="0" borderId="0" xfId="28" applyNumberFormat="1" applyFont="1" applyFill="1" applyBorder="1" applyAlignment="1" applyProtection="1"/>
    <xf numFmtId="165" fontId="9" fillId="0" borderId="5" xfId="28" applyNumberFormat="1" applyFont="1" applyFill="1" applyBorder="1" applyAlignment="1" applyProtection="1"/>
    <xf numFmtId="174" fontId="9" fillId="0" borderId="5" xfId="28" applyNumberFormat="1" applyFont="1" applyFill="1" applyBorder="1"/>
    <xf numFmtId="10" fontId="9" fillId="33" borderId="0" xfId="50" applyNumberFormat="1" applyFont="1" applyFill="1" applyBorder="1"/>
    <xf numFmtId="164" fontId="4" fillId="33" borderId="25" xfId="28" applyFont="1" applyFill="1" applyBorder="1" applyAlignment="1"/>
    <xf numFmtId="169" fontId="4" fillId="0" borderId="0" xfId="0" applyNumberFormat="1" applyFont="1" applyBorder="1"/>
    <xf numFmtId="169" fontId="4" fillId="0" borderId="0" xfId="0" applyNumberFormat="1" applyFont="1" applyBorder="1" applyAlignment="1">
      <alignment horizontal="center" vertical="center"/>
    </xf>
    <xf numFmtId="169" fontId="5" fillId="0" borderId="0" xfId="0" applyNumberFormat="1" applyFont="1" applyBorder="1"/>
    <xf numFmtId="169" fontId="33" fillId="0" borderId="0" xfId="0" applyNumberFormat="1" applyFont="1" applyBorder="1" applyAlignment="1">
      <alignment horizontal="center" vertical="center"/>
    </xf>
    <xf numFmtId="169" fontId="33" fillId="0" borderId="0" xfId="0" applyNumberFormat="1" applyFont="1" applyBorder="1"/>
    <xf numFmtId="164" fontId="4" fillId="0" borderId="0" xfId="28" applyNumberFormat="1" applyFont="1" applyBorder="1" applyAlignment="1">
      <alignment horizontal="center" vertical="center"/>
    </xf>
    <xf numFmtId="164" fontId="5" fillId="0" borderId="0" xfId="28" applyNumberFormat="1" applyFont="1" applyBorder="1"/>
    <xf numFmtId="164" fontId="33" fillId="0" borderId="0" xfId="28" applyNumberFormat="1" applyFont="1" applyBorder="1" applyAlignment="1">
      <alignment horizontal="center" vertical="center"/>
    </xf>
    <xf numFmtId="164" fontId="33" fillId="0" borderId="0" xfId="28" applyNumberFormat="1" applyFont="1" applyBorder="1"/>
    <xf numFmtId="169" fontId="3" fillId="0" borderId="0" xfId="0" applyNumberFormat="1" applyFont="1" applyBorder="1" applyAlignment="1"/>
    <xf numFmtId="169" fontId="5" fillId="0" borderId="0" xfId="0" applyNumberFormat="1" applyFont="1" applyBorder="1" applyAlignment="1"/>
    <xf numFmtId="169" fontId="5" fillId="0" borderId="2" xfId="0" applyNumberFormat="1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169" fontId="5" fillId="36" borderId="21" xfId="0" applyNumberFormat="1" applyFont="1" applyFill="1" applyBorder="1" applyAlignment="1">
      <alignment horizontal="center" vertical="center" wrapText="1"/>
    </xf>
    <xf numFmtId="169" fontId="4" fillId="0" borderId="24" xfId="0" applyNumberFormat="1" applyFont="1" applyBorder="1" applyAlignment="1">
      <alignment horizontal="center"/>
    </xf>
    <xf numFmtId="169" fontId="33" fillId="0" borderId="0" xfId="0" applyNumberFormat="1" applyFont="1" applyBorder="1" applyAlignment="1">
      <alignment horizontal="center" vertical="center"/>
    </xf>
    <xf numFmtId="169" fontId="33" fillId="0" borderId="0" xfId="0" applyNumberFormat="1" applyFont="1" applyBorder="1" applyAlignment="1">
      <alignment horizontal="center"/>
    </xf>
    <xf numFmtId="0" fontId="3" fillId="33" borderId="0" xfId="0" applyNumberFormat="1" applyFont="1" applyFill="1" applyBorder="1" applyAlignment="1">
      <alignment horizontal="center"/>
    </xf>
    <xf numFmtId="0" fontId="4" fillId="0" borderId="24" xfId="0" applyNumberFormat="1" applyFont="1" applyBorder="1" applyAlignment="1">
      <alignment horizontal="center"/>
    </xf>
    <xf numFmtId="0" fontId="3" fillId="33" borderId="0" xfId="0" applyNumberFormat="1" applyFont="1" applyFill="1" applyAlignment="1">
      <alignment horizontal="right"/>
    </xf>
    <xf numFmtId="0" fontId="0" fillId="0" borderId="0" xfId="0" applyNumberFormat="1"/>
    <xf numFmtId="0" fontId="0" fillId="39" borderId="0" xfId="0" applyNumberFormat="1" applyFill="1"/>
    <xf numFmtId="169" fontId="4" fillId="0" borderId="25" xfId="0" applyFont="1" applyFill="1" applyBorder="1"/>
    <xf numFmtId="174" fontId="10" fillId="33" borderId="0" xfId="28" applyNumberFormat="1" applyFont="1" applyFill="1" applyBorder="1"/>
    <xf numFmtId="176" fontId="10" fillId="33" borderId="0" xfId="28" applyNumberFormat="1" applyFont="1" applyFill="1" applyBorder="1"/>
    <xf numFmtId="164" fontId="10" fillId="33" borderId="0" xfId="28" applyNumberFormat="1" applyFont="1" applyFill="1" applyBorder="1"/>
    <xf numFmtId="174" fontId="0" fillId="0" borderId="0" xfId="28" applyNumberFormat="1" applyFont="1"/>
    <xf numFmtId="166" fontId="0" fillId="0" borderId="0" xfId="50" applyNumberFormat="1" applyFont="1"/>
    <xf numFmtId="174" fontId="0" fillId="39" borderId="0" xfId="28" applyNumberFormat="1" applyFont="1" applyFill="1"/>
    <xf numFmtId="169" fontId="49" fillId="0" borderId="0" xfId="0" applyFont="1"/>
    <xf numFmtId="165" fontId="11" fillId="36" borderId="26" xfId="28" applyNumberFormat="1" applyFont="1" applyFill="1" applyBorder="1"/>
    <xf numFmtId="10" fontId="11" fillId="36" borderId="25" xfId="50" applyNumberFormat="1" applyFont="1" applyFill="1" applyBorder="1" applyAlignment="1" applyProtection="1">
      <alignment horizontal="center"/>
    </xf>
    <xf numFmtId="175" fontId="11" fillId="36" borderId="25" xfId="55" applyNumberFormat="1" applyFont="1" applyFill="1" applyBorder="1"/>
    <xf numFmtId="164" fontId="11" fillId="36" borderId="26" xfId="28" applyNumberFormat="1" applyFont="1" applyFill="1" applyBorder="1"/>
    <xf numFmtId="41" fontId="11" fillId="36" borderId="26" xfId="55" applyFont="1" applyFill="1" applyBorder="1"/>
    <xf numFmtId="10" fontId="11" fillId="36" borderId="29" xfId="50" applyNumberFormat="1" applyFont="1" applyFill="1" applyBorder="1" applyAlignment="1" applyProtection="1">
      <alignment horizontal="center"/>
    </xf>
    <xf numFmtId="0" fontId="6" fillId="0" borderId="24" xfId="0" applyNumberFormat="1" applyFont="1" applyBorder="1" applyAlignment="1">
      <alignment horizontal="center"/>
    </xf>
    <xf numFmtId="15" fontId="6" fillId="0" borderId="25" xfId="0" applyNumberFormat="1" applyFont="1" applyFill="1" applyBorder="1" applyAlignment="1">
      <alignment horizontal="center"/>
    </xf>
    <xf numFmtId="169" fontId="6" fillId="0" borderId="25" xfId="0" applyFont="1" applyFill="1" applyBorder="1"/>
    <xf numFmtId="10" fontId="6" fillId="0" borderId="25" xfId="50" applyNumberFormat="1" applyFont="1" applyBorder="1"/>
    <xf numFmtId="43" fontId="6" fillId="0" borderId="25" xfId="28" applyNumberFormat="1" applyFont="1" applyBorder="1"/>
    <xf numFmtId="10" fontId="6" fillId="0" borderId="25" xfId="50" applyNumberFormat="1" applyFont="1" applyFill="1" applyBorder="1" applyAlignment="1">
      <alignment horizontal="center"/>
    </xf>
    <xf numFmtId="170" fontId="6" fillId="33" borderId="25" xfId="28" applyNumberFormat="1" applyFont="1" applyFill="1" applyBorder="1"/>
    <xf numFmtId="10" fontId="6" fillId="0" borderId="25" xfId="50" applyNumberFormat="1" applyFont="1" applyBorder="1" applyAlignment="1">
      <alignment horizontal="center"/>
    </xf>
    <xf numFmtId="170" fontId="6" fillId="0" borderId="25" xfId="28" applyNumberFormat="1" applyFont="1" applyFill="1" applyBorder="1"/>
    <xf numFmtId="10" fontId="6" fillId="0" borderId="29" xfId="0" applyNumberFormat="1" applyFont="1" applyBorder="1" applyAlignment="1">
      <alignment horizontal="center"/>
    </xf>
    <xf numFmtId="10" fontId="5" fillId="0" borderId="25" xfId="50" applyNumberFormat="1" applyFont="1" applyBorder="1" applyAlignment="1">
      <alignment horizontal="center"/>
    </xf>
    <xf numFmtId="1" fontId="4" fillId="39" borderId="25" xfId="28" applyNumberFormat="1" applyFont="1" applyFill="1" applyBorder="1" applyAlignment="1">
      <alignment horizontal="left"/>
    </xf>
    <xf numFmtId="0" fontId="7" fillId="0" borderId="24" xfId="0" applyNumberFormat="1" applyFont="1" applyBorder="1" applyAlignment="1">
      <alignment horizontal="center"/>
    </xf>
    <xf numFmtId="15" fontId="7" fillId="0" borderId="25" xfId="0" applyNumberFormat="1" applyFont="1" applyFill="1" applyBorder="1" applyAlignment="1">
      <alignment horizontal="center"/>
    </xf>
    <xf numFmtId="169" fontId="7" fillId="0" borderId="25" xfId="0" applyFont="1" applyFill="1" applyBorder="1"/>
    <xf numFmtId="0" fontId="5" fillId="0" borderId="24" xfId="0" applyNumberFormat="1" applyFont="1" applyBorder="1" applyAlignment="1">
      <alignment horizontal="center"/>
    </xf>
    <xf numFmtId="15" fontId="5" fillId="0" borderId="25" xfId="0" applyNumberFormat="1" applyFont="1" applyFill="1" applyBorder="1" applyAlignment="1">
      <alignment horizontal="center"/>
    </xf>
    <xf numFmtId="169" fontId="5" fillId="0" borderId="25" xfId="0" applyFont="1" applyFill="1" applyBorder="1"/>
    <xf numFmtId="10" fontId="5" fillId="0" borderId="25" xfId="50" applyNumberFormat="1" applyFont="1" applyBorder="1"/>
    <xf numFmtId="10" fontId="7" fillId="0" borderId="25" xfId="50" applyNumberFormat="1" applyFont="1" applyBorder="1"/>
    <xf numFmtId="169" fontId="9" fillId="33" borderId="0" xfId="0" applyFont="1" applyFill="1" applyBorder="1" applyAlignment="1">
      <alignment horizontal="left"/>
    </xf>
    <xf numFmtId="169" fontId="9" fillId="34" borderId="5" xfId="0" applyFont="1" applyFill="1" applyBorder="1" applyAlignment="1">
      <alignment horizontal="center" vertical="center"/>
    </xf>
    <xf numFmtId="169" fontId="10" fillId="33" borderId="5" xfId="37" applyFont="1" applyFill="1" applyBorder="1" applyAlignment="1" applyProtection="1">
      <alignment horizontal="left"/>
    </xf>
    <xf numFmtId="169" fontId="5" fillId="35" borderId="28" xfId="0" applyFont="1" applyFill="1" applyBorder="1" applyAlignment="1">
      <alignment horizontal="center"/>
    </xf>
    <xf numFmtId="169" fontId="5" fillId="35" borderId="26" xfId="0" applyFont="1" applyFill="1" applyBorder="1" applyAlignment="1">
      <alignment horizontal="center"/>
    </xf>
    <xf numFmtId="17" fontId="3" fillId="0" borderId="0" xfId="0" quotePrefix="1" applyNumberFormat="1" applyFont="1" applyBorder="1" applyAlignment="1"/>
  </cellXfs>
  <cellStyles count="6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55" builtinId="6"/>
    <cellStyle name="Comma [0] 2" xfId="58"/>
    <cellStyle name="Comma 2" xfId="29"/>
    <cellStyle name="Comma 3" xfId="57"/>
    <cellStyle name="Comma 4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37" builtinId="8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" xfId="41"/>
    <cellStyle name="Normal 3" xfId="42"/>
    <cellStyle name="Normal 4" xfId="43"/>
    <cellStyle name="Normal 5" xfId="56"/>
    <cellStyle name="Normal 6" xfId="44"/>
    <cellStyle name="Normal 7" xfId="60"/>
    <cellStyle name="Normal 8" xfId="61"/>
    <cellStyle name="Normal 9" xfId="62"/>
    <cellStyle name="Note 2" xfId="45"/>
    <cellStyle name="Note 3" xfId="46"/>
    <cellStyle name="Note 4" xfId="47"/>
    <cellStyle name="Note 5" xfId="48"/>
    <cellStyle name="Output" xfId="49" builtinId="21" customBuiltin="1"/>
    <cellStyle name="Percent" xfId="50" builtinId="5"/>
    <cellStyle name="Percent 2" xfId="51"/>
    <cellStyle name="Percent 3" xfId="59"/>
    <cellStyle name="Title" xfId="52" builtinId="15" customBuiltin="1"/>
    <cellStyle name="Total" xfId="53" builtinId="25" customBuiltin="1"/>
    <cellStyle name="Warning Text" xfId="54" builtinId="11" customBuiltin="1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13322632423694E-2"/>
          <c:y val="0.213270635715889"/>
          <c:w val="0.90048154093097899"/>
          <c:h val="0.6113758223855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'SLS MD'!$F$4</c:f>
              <c:strCache>
                <c:ptCount val="1"/>
                <c:pt idx="0">
                  <c:v>% ACHV</c:v>
                </c:pt>
              </c:strCache>
            </c:strRef>
          </c:tx>
          <c:spPr>
            <a:solidFill>
              <a:srgbClr val="4F81BD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C0504D"/>
              </a:solid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solidFill>
                <a:srgbClr val="C0504D"/>
              </a:solidFill>
              <a:ln w="12700">
                <a:solidFill>
                  <a:srgbClr val="99CCFF"/>
                </a:solidFill>
                <a:prstDash val="solid"/>
              </a:ln>
            </c:spPr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'SLS MD'!$C$5:$C$16</c:f>
              <c:strCache>
                <c:ptCount val="11"/>
                <c:pt idx="0">
                  <c:v>6A</c:v>
                </c:pt>
                <c:pt idx="1">
                  <c:v>6B</c:v>
                </c:pt>
                <c:pt idx="2">
                  <c:v>7A</c:v>
                </c:pt>
                <c:pt idx="3">
                  <c:v>7B</c:v>
                </c:pt>
                <c:pt idx="4">
                  <c:v>7C</c:v>
                </c:pt>
                <c:pt idx="6">
                  <c:v>8A</c:v>
                </c:pt>
                <c:pt idx="7">
                  <c:v>8B</c:v>
                </c:pt>
                <c:pt idx="8">
                  <c:v>8C</c:v>
                </c:pt>
                <c:pt idx="10">
                  <c:v>8D</c:v>
                </c:pt>
              </c:strCache>
            </c:strRef>
          </c:cat>
          <c:val>
            <c:numRef>
              <c:f>'SLS MD'!$F$5:$F$16</c:f>
              <c:numCache>
                <c:formatCode>0.00%</c:formatCode>
                <c:ptCount val="12"/>
                <c:pt idx="0">
                  <c:v>0.60034140305033934</c:v>
                </c:pt>
                <c:pt idx="1">
                  <c:v>0.55690884512185879</c:v>
                </c:pt>
                <c:pt idx="2">
                  <c:v>0.78413532529542918</c:v>
                </c:pt>
                <c:pt idx="3">
                  <c:v>0.68500087958942468</c:v>
                </c:pt>
                <c:pt idx="4">
                  <c:v>0.68985921037464304</c:v>
                </c:pt>
                <c:pt idx="5">
                  <c:v>0.67863690610114102</c:v>
                </c:pt>
                <c:pt idx="6">
                  <c:v>0.80858990657258101</c:v>
                </c:pt>
                <c:pt idx="7">
                  <c:v>0.95556467666969569</c:v>
                </c:pt>
                <c:pt idx="8">
                  <c:v>0.93717560637714836</c:v>
                </c:pt>
                <c:pt idx="9">
                  <c:v>0.89697989407653844</c:v>
                </c:pt>
                <c:pt idx="10">
                  <c:v>0.69741660054482535</c:v>
                </c:pt>
                <c:pt idx="11">
                  <c:v>0.69741660054482535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747904"/>
        <c:axId val="403749080"/>
      </c:barChart>
      <c:catAx>
        <c:axId val="4037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3749080"/>
        <c:crosses val="autoZero"/>
        <c:auto val="1"/>
        <c:lblAlgn val="ctr"/>
        <c:lblOffset val="100"/>
        <c:noMultiLvlLbl val="0"/>
      </c:catAx>
      <c:valAx>
        <c:axId val="403749080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374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99" l="0.70000000000000095" r="0.70000000000000095" t="0.75000000000001499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66988596781"/>
          <c:y val="7.0866467607430497E-2"/>
          <c:w val="0.89292033159328399"/>
          <c:h val="0.68504200388319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'SLS MD'!$C$45</c:f>
              <c:strCache>
                <c:ptCount val="1"/>
              </c:strCache>
            </c:strRef>
          </c:tx>
          <c:spPr>
            <a:solidFill>
              <a:srgbClr val="4572A7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C0504D"/>
              </a:solidFill>
              <a:ln w="12700">
                <a:solidFill>
                  <a:srgbClr val="99CCFF"/>
                </a:solidFill>
                <a:prstDash val="solid"/>
              </a:ln>
            </c:spPr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'SLS MD'!$B$46:$B$49</c:f>
              <c:strCache>
                <c:ptCount val="4"/>
                <c:pt idx="0">
                  <c:v>SUPERMARKET</c:v>
                </c:pt>
                <c:pt idx="1">
                  <c:v>FASHION  </c:v>
                </c:pt>
                <c:pt idx="2">
                  <c:v>CONSIGMENT</c:v>
                </c:pt>
                <c:pt idx="3">
                  <c:v>TOTAL</c:v>
                </c:pt>
              </c:strCache>
            </c:strRef>
          </c:cat>
          <c:val>
            <c:numRef>
              <c:f>'SLS MD'!$C$46:$C$49</c:f>
              <c:numCache>
                <c:formatCode>[$-409]mmm\-yy;@</c:formatCode>
                <c:ptCount val="4"/>
              </c:numCache>
            </c:numRef>
          </c:val>
        </c:ser>
        <c:ser>
          <c:idx val="1"/>
          <c:order val="1"/>
          <c:tx>
            <c:strRef>
              <c:f>'SLS MD'!$G$45</c:f>
              <c:strCache>
                <c:ptCount val="1"/>
                <c:pt idx="0">
                  <c:v>% ACH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 w="2540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'SLS MD'!$B$46:$B$49</c:f>
              <c:strCache>
                <c:ptCount val="4"/>
                <c:pt idx="0">
                  <c:v>SUPERMARKET</c:v>
                </c:pt>
                <c:pt idx="1">
                  <c:v>FASHION  </c:v>
                </c:pt>
                <c:pt idx="2">
                  <c:v>CONSIGMENT</c:v>
                </c:pt>
                <c:pt idx="3">
                  <c:v>TOTAL</c:v>
                </c:pt>
              </c:strCache>
            </c:strRef>
          </c:cat>
          <c:val>
            <c:numRef>
              <c:f>'SLS MD'!$G$46:$G$49</c:f>
              <c:numCache>
                <c:formatCode>0.00%</c:formatCode>
                <c:ptCount val="4"/>
                <c:pt idx="0">
                  <c:v>0.83237342824964744</c:v>
                </c:pt>
                <c:pt idx="1">
                  <c:v>0.62470000000000003</c:v>
                </c:pt>
                <c:pt idx="2">
                  <c:v>0.62060000000000004</c:v>
                </c:pt>
                <c:pt idx="3">
                  <c:v>0.6709236443803851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742024"/>
        <c:axId val="403743200"/>
      </c:barChart>
      <c:catAx>
        <c:axId val="40374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3743200"/>
        <c:crosses val="autoZero"/>
        <c:auto val="1"/>
        <c:lblAlgn val="ctr"/>
        <c:lblOffset val="100"/>
        <c:noMultiLvlLbl val="0"/>
      </c:catAx>
      <c:valAx>
        <c:axId val="403743200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3742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99" l="0.70000000000000095" r="0.70000000000000095" t="0.75000000000001499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3943358968201"/>
          <c:y val="0.111326905965192"/>
          <c:w val="0.89136056641031802"/>
          <c:h val="0.7207535292290420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rgbClr val="C0504D"/>
              </a:solid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</c:spPr>
          </c:dPt>
          <c:dLbls>
            <c:dLbl>
              <c:idx val="1"/>
              <c:layout>
                <c:manualLayout>
                  <c:x val="2.2165061725830798E-3"/>
                  <c:y val="-7.45916033971705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0638676968682099E-17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9.430216095625940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5.762935045905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7.858547789871080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-4.715128673922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8.38240972364311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'SLS MD'!$C$5:$C$16</c:f>
              <c:strCache>
                <c:ptCount val="11"/>
                <c:pt idx="0">
                  <c:v>6A</c:v>
                </c:pt>
                <c:pt idx="1">
                  <c:v>6B</c:v>
                </c:pt>
                <c:pt idx="2">
                  <c:v>7A</c:v>
                </c:pt>
                <c:pt idx="3">
                  <c:v>7B</c:v>
                </c:pt>
                <c:pt idx="4">
                  <c:v>7C</c:v>
                </c:pt>
                <c:pt idx="6">
                  <c:v>8A</c:v>
                </c:pt>
                <c:pt idx="7">
                  <c:v>8B</c:v>
                </c:pt>
                <c:pt idx="8">
                  <c:v>8C</c:v>
                </c:pt>
                <c:pt idx="10">
                  <c:v>8D</c:v>
                </c:pt>
              </c:strCache>
            </c:strRef>
          </c:cat>
          <c:val>
            <c:numRef>
              <c:f>'SLS MD'!$O$5:$O$16</c:f>
              <c:numCache>
                <c:formatCode>0.00%</c:formatCode>
                <c:ptCount val="12"/>
                <c:pt idx="0">
                  <c:v>-0.42378322600886903</c:v>
                </c:pt>
                <c:pt idx="1">
                  <c:v>-0.50806465185778737</c:v>
                </c:pt>
                <c:pt idx="2">
                  <c:v>-0.23514052560230389</c:v>
                </c:pt>
                <c:pt idx="3">
                  <c:v>-0.32403008408176964</c:v>
                </c:pt>
                <c:pt idx="4">
                  <c:v>-0.34812702976922094</c:v>
                </c:pt>
                <c:pt idx="5">
                  <c:v>-0.35016975653836219</c:v>
                </c:pt>
                <c:pt idx="6">
                  <c:v>-0.17377399236972169</c:v>
                </c:pt>
                <c:pt idx="7">
                  <c:v>-3.5789806390268955E-3</c:v>
                </c:pt>
                <c:pt idx="8">
                  <c:v>-1.3261674975103823E-2</c:v>
                </c:pt>
                <c:pt idx="9">
                  <c:v>-7.0041237306807086E-2</c:v>
                </c:pt>
                <c:pt idx="10">
                  <c:v>-0.33779687828335686</c:v>
                </c:pt>
                <c:pt idx="11">
                  <c:v>-0.33779687828335686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067008"/>
        <c:axId val="404935864"/>
      </c:barChart>
      <c:catAx>
        <c:axId val="3350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4935864"/>
        <c:crosses val="autoZero"/>
        <c:auto val="1"/>
        <c:lblAlgn val="ctr"/>
        <c:lblOffset val="100"/>
        <c:noMultiLvlLbl val="0"/>
      </c:catAx>
      <c:valAx>
        <c:axId val="40493586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506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99" l="0.70000000000000095" r="0.70000000000000095" t="0.75000000000001499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19</xdr:row>
      <xdr:rowOff>12700</xdr:rowOff>
    </xdr:from>
    <xdr:to>
      <xdr:col>9</xdr:col>
      <xdr:colOff>12700</xdr:colOff>
      <xdr:row>30</xdr:row>
      <xdr:rowOff>63500</xdr:rowOff>
    </xdr:to>
    <xdr:graphicFrame macro="">
      <xdr:nvGraphicFramePr>
        <xdr:cNvPr id="195198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49</xdr:row>
      <xdr:rowOff>38100</xdr:rowOff>
    </xdr:from>
    <xdr:to>
      <xdr:col>8</xdr:col>
      <xdr:colOff>38100</xdr:colOff>
      <xdr:row>57</xdr:row>
      <xdr:rowOff>279400</xdr:rowOff>
    </xdr:to>
    <xdr:graphicFrame macro="">
      <xdr:nvGraphicFramePr>
        <xdr:cNvPr id="1951985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241300</xdr:colOff>
      <xdr:row>19</xdr:row>
      <xdr:rowOff>12700</xdr:rowOff>
    </xdr:from>
    <xdr:to>
      <xdr:col>14</xdr:col>
      <xdr:colOff>1638300</xdr:colOff>
      <xdr:row>30</xdr:row>
      <xdr:rowOff>63500</xdr:rowOff>
    </xdr:to>
    <xdr:graphicFrame macro="">
      <xdr:nvGraphicFramePr>
        <xdr:cNvPr id="1951985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0.40477</cdr:x>
      <cdr:y>0.0039</cdr:y>
    </cdr:from>
    <cdr:to>
      <cdr:x>0.57651</cdr:x>
      <cdr:y>0.15772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47936" y="11907"/>
          <a:ext cx="1059657" cy="2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% ACHIVEMENT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0.19699</cdr:x>
      <cdr:y>0.01524</cdr:y>
    </cdr:from>
    <cdr:to>
      <cdr:x>0.36947</cdr:x>
      <cdr:y>0.17129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32913" y="35719"/>
          <a:ext cx="1342652" cy="228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/>
            <a:t>% </a:t>
          </a:r>
          <a:r>
            <a:rPr lang="en-US" sz="900" b="1"/>
            <a:t>ACHIVEMENT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0.3855</cdr:x>
      <cdr:y>0</cdr:y>
    </cdr:from>
    <cdr:to>
      <cdr:x>0.3855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64594" y="0"/>
          <a:ext cx="1285873" cy="309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 baseline="0"/>
            <a:t>GROWTH 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T66"/>
  <sheetViews>
    <sheetView showGridLines="0" tabSelected="1" zoomScale="80" zoomScaleNormal="80" zoomScalePageLayoutView="80" workbookViewId="0"/>
  </sheetViews>
  <sheetFormatPr defaultColWidth="9.140625" defaultRowHeight="16.5" x14ac:dyDescent="0.3"/>
  <cols>
    <col min="1" max="1" width="3.28515625" style="61" customWidth="1"/>
    <col min="2" max="2" width="7.85546875" style="61" customWidth="1"/>
    <col min="3" max="3" width="9.7109375" style="61" customWidth="1"/>
    <col min="4" max="5" width="20" style="105" customWidth="1"/>
    <col min="6" max="9" width="8" style="107" customWidth="1"/>
    <col min="10" max="10" width="20" style="105" customWidth="1"/>
    <col min="11" max="11" width="8" style="105" customWidth="1"/>
    <col min="12" max="13" width="20" style="105" customWidth="1"/>
    <col min="14" max="14" width="8" style="128" customWidth="1"/>
    <col min="15" max="15" width="8" style="61" customWidth="1"/>
    <col min="16" max="16" width="3.85546875" style="61" customWidth="1"/>
    <col min="17" max="17" width="22.7109375" style="61" customWidth="1"/>
    <col min="18" max="18" width="13.5703125" style="61" bestFit="1" customWidth="1"/>
    <col min="19" max="19" width="10.5703125" style="61" bestFit="1" customWidth="1"/>
    <col min="20" max="16384" width="9.140625" style="61"/>
  </cols>
  <sheetData>
    <row r="1" spans="1:20" ht="19.5" thickTop="1" x14ac:dyDescent="0.3">
      <c r="A1" s="94"/>
      <c r="B1" s="91" t="s">
        <v>133</v>
      </c>
      <c r="C1" s="92"/>
      <c r="D1" s="93"/>
      <c r="E1" s="97"/>
      <c r="F1" s="98"/>
      <c r="G1" s="98"/>
      <c r="H1" s="98"/>
      <c r="I1" s="98"/>
      <c r="J1" s="97"/>
      <c r="K1" s="99"/>
      <c r="L1" s="100"/>
      <c r="M1" s="100"/>
      <c r="N1" s="101"/>
      <c r="O1" s="100"/>
      <c r="P1" s="102"/>
    </row>
    <row r="2" spans="1:20" s="67" customFormat="1" ht="17.25" customHeight="1" x14ac:dyDescent="0.3">
      <c r="A2" s="65"/>
      <c r="B2" s="13" t="s">
        <v>11</v>
      </c>
      <c r="C2" s="292">
        <v>31</v>
      </c>
      <c r="D2" s="58">
        <v>43891</v>
      </c>
      <c r="E2" s="103"/>
      <c r="F2" s="69"/>
      <c r="G2" s="69"/>
      <c r="H2" s="69"/>
      <c r="I2" s="69"/>
      <c r="J2" s="68"/>
      <c r="K2" s="68"/>
      <c r="L2" s="104"/>
      <c r="M2" s="170"/>
      <c r="N2" s="84"/>
      <c r="O2" s="104"/>
      <c r="P2" s="66"/>
    </row>
    <row r="3" spans="1:20" x14ac:dyDescent="0.3">
      <c r="A3" s="59"/>
      <c r="B3" s="67"/>
      <c r="E3" s="106"/>
      <c r="F3" s="215">
        <v>65</v>
      </c>
      <c r="L3" s="108"/>
      <c r="M3" s="108"/>
      <c r="N3" s="108"/>
      <c r="O3" s="108"/>
      <c r="P3" s="60"/>
    </row>
    <row r="4" spans="1:20" s="111" customFormat="1" ht="84.75" customHeight="1" x14ac:dyDescent="0.2">
      <c r="A4" s="109"/>
      <c r="B4" s="186" t="s">
        <v>155</v>
      </c>
      <c r="C4" s="187" t="s">
        <v>0</v>
      </c>
      <c r="D4" s="188" t="s">
        <v>27</v>
      </c>
      <c r="E4" s="188" t="s">
        <v>1</v>
      </c>
      <c r="F4" s="189" t="s">
        <v>151</v>
      </c>
      <c r="G4" s="189" t="s">
        <v>34</v>
      </c>
      <c r="H4" s="189" t="s">
        <v>152</v>
      </c>
      <c r="I4" s="189" t="s">
        <v>35</v>
      </c>
      <c r="J4" s="190" t="s">
        <v>328</v>
      </c>
      <c r="K4" s="190" t="s">
        <v>149</v>
      </c>
      <c r="L4" s="190" t="s">
        <v>146</v>
      </c>
      <c r="M4" s="190" t="s">
        <v>145</v>
      </c>
      <c r="N4" s="191" t="s">
        <v>2</v>
      </c>
      <c r="O4" s="192" t="s">
        <v>150</v>
      </c>
      <c r="P4" s="110"/>
    </row>
    <row r="5" spans="1:20" x14ac:dyDescent="0.3">
      <c r="A5" s="59"/>
      <c r="B5" s="112" t="s">
        <v>156</v>
      </c>
      <c r="C5" s="113" t="s">
        <v>12</v>
      </c>
      <c r="D5" s="114">
        <f>DATA!D11</f>
        <v>4036600000</v>
      </c>
      <c r="E5" s="115">
        <f>DATA!V11</f>
        <v>2423338107.553</v>
      </c>
      <c r="F5" s="116">
        <f>E5/D5</f>
        <v>0.60034140305033934</v>
      </c>
      <c r="G5" s="259">
        <f>DATA!Y11</f>
        <v>24.074000000000002</v>
      </c>
      <c r="H5" s="259">
        <f>DATA!AB11</f>
        <v>46.216000000000001</v>
      </c>
      <c r="I5" s="118">
        <v>0</v>
      </c>
      <c r="J5" s="231">
        <v>4205601462.7409987</v>
      </c>
      <c r="K5" s="117">
        <f>(E5-J5)/J5</f>
        <v>-0.42378322600886903</v>
      </c>
      <c r="L5" s="230">
        <f>((E5/$C$2)*31)/31</f>
        <v>78172197.017838702</v>
      </c>
      <c r="M5" s="262">
        <f>L5*31</f>
        <v>2423338107.553</v>
      </c>
      <c r="N5" s="119">
        <f>M5/D5</f>
        <v>0.60034140305033934</v>
      </c>
      <c r="O5" s="119">
        <f>(M5-J5)/J5</f>
        <v>-0.42378322600886903</v>
      </c>
      <c r="P5" s="150" t="str">
        <f>C5</f>
        <v>6A</v>
      </c>
      <c r="Q5" s="298"/>
      <c r="R5" s="298"/>
      <c r="S5" s="299"/>
      <c r="T5" s="300"/>
    </row>
    <row r="6" spans="1:20" x14ac:dyDescent="0.3">
      <c r="A6" s="59"/>
      <c r="B6" s="62"/>
      <c r="C6" s="113" t="s">
        <v>13</v>
      </c>
      <c r="D6" s="114">
        <f>DATA!D12</f>
        <v>1846400000</v>
      </c>
      <c r="E6" s="115">
        <f>DATA!V12</f>
        <v>1028276491.633</v>
      </c>
      <c r="F6" s="116">
        <f t="shared" ref="F6:F16" si="0">E6/D6</f>
        <v>0.55690884512185879</v>
      </c>
      <c r="G6" s="259">
        <f>DATA!Y12</f>
        <v>28.088999999999999</v>
      </c>
      <c r="H6" s="259">
        <f>DATA!AB12</f>
        <v>10.547000000000001</v>
      </c>
      <c r="I6" s="118">
        <v>0</v>
      </c>
      <c r="J6" s="231">
        <v>2090267543.3190005</v>
      </c>
      <c r="K6" s="117">
        <f t="shared" ref="K6:K17" si="1">(E6-J6)/J6</f>
        <v>-0.50806465185778737</v>
      </c>
      <c r="L6" s="230">
        <f t="shared" ref="L6:L9" si="2">((E6/$C$2)*31)/31</f>
        <v>33170209.407516129</v>
      </c>
      <c r="M6" s="262">
        <f t="shared" ref="M6:M9" si="3">L6*31</f>
        <v>1028276491.633</v>
      </c>
      <c r="N6" s="119">
        <f t="shared" ref="N6:N16" si="4">M6/D6</f>
        <v>0.55690884512185879</v>
      </c>
      <c r="O6" s="119">
        <f t="shared" ref="O6:O17" si="5">(M6-J6)/J6</f>
        <v>-0.50806465185778737</v>
      </c>
      <c r="P6" s="150" t="str">
        <f t="shared" ref="P6:P16" si="6">C6</f>
        <v>6B</v>
      </c>
      <c r="Q6" s="298"/>
      <c r="R6" s="298"/>
      <c r="S6" s="299"/>
      <c r="T6" s="300"/>
    </row>
    <row r="7" spans="1:20" x14ac:dyDescent="0.3">
      <c r="A7" s="59"/>
      <c r="B7" s="112"/>
      <c r="C7" s="113" t="s">
        <v>5</v>
      </c>
      <c r="D7" s="114">
        <f>DATA!D13</f>
        <v>4395300000</v>
      </c>
      <c r="E7" s="115">
        <f>DATA!V13</f>
        <v>3446509995.2709999</v>
      </c>
      <c r="F7" s="116">
        <f t="shared" si="0"/>
        <v>0.78413532529542918</v>
      </c>
      <c r="G7" s="259">
        <f>DATA!Y13</f>
        <v>25.641999999999999</v>
      </c>
      <c r="H7" s="259">
        <f>DATA!AB13</f>
        <v>43.805</v>
      </c>
      <c r="I7" s="118">
        <v>0</v>
      </c>
      <c r="J7" s="231">
        <v>4506069560.0129986</v>
      </c>
      <c r="K7" s="117">
        <f t="shared" si="1"/>
        <v>-0.23514052560230389</v>
      </c>
      <c r="L7" s="230">
        <f t="shared" si="2"/>
        <v>111177741.78293549</v>
      </c>
      <c r="M7" s="262">
        <f t="shared" si="3"/>
        <v>3446509995.2709999</v>
      </c>
      <c r="N7" s="119">
        <f t="shared" si="4"/>
        <v>0.78413532529542918</v>
      </c>
      <c r="O7" s="119">
        <f t="shared" si="5"/>
        <v>-0.23514052560230389</v>
      </c>
      <c r="P7" s="150" t="str">
        <f t="shared" si="6"/>
        <v>7A</v>
      </c>
      <c r="Q7" s="298"/>
      <c r="R7" s="298"/>
      <c r="S7" s="299"/>
      <c r="T7" s="300"/>
    </row>
    <row r="8" spans="1:20" x14ac:dyDescent="0.3">
      <c r="A8" s="59"/>
      <c r="B8" s="62"/>
      <c r="C8" s="113" t="s">
        <v>6</v>
      </c>
      <c r="D8" s="114">
        <f>DATA!D14</f>
        <v>4213600000</v>
      </c>
      <c r="E8" s="115">
        <f>DATA!V14</f>
        <v>2886319706.2379999</v>
      </c>
      <c r="F8" s="116">
        <f t="shared" si="0"/>
        <v>0.68500087958942468</v>
      </c>
      <c r="G8" s="259">
        <f>DATA!Y14</f>
        <v>27.573</v>
      </c>
      <c r="H8" s="259">
        <f>DATA!AB14</f>
        <v>30.402999999999999</v>
      </c>
      <c r="I8" s="118">
        <v>0</v>
      </c>
      <c r="J8" s="231">
        <v>4269893730.8729987</v>
      </c>
      <c r="K8" s="117">
        <f t="shared" si="1"/>
        <v>-0.32403008408176964</v>
      </c>
      <c r="L8" s="230">
        <f t="shared" si="2"/>
        <v>93107087.297999993</v>
      </c>
      <c r="M8" s="262">
        <f t="shared" si="3"/>
        <v>2886319706.2379999</v>
      </c>
      <c r="N8" s="119">
        <f t="shared" si="4"/>
        <v>0.68500087958942468</v>
      </c>
      <c r="O8" s="119">
        <f t="shared" si="5"/>
        <v>-0.32403008408176964</v>
      </c>
      <c r="P8" s="150" t="str">
        <f t="shared" si="6"/>
        <v>7B</v>
      </c>
      <c r="Q8" s="298"/>
      <c r="R8" s="298"/>
      <c r="S8" s="299"/>
      <c r="T8" s="300"/>
    </row>
    <row r="9" spans="1:20" x14ac:dyDescent="0.3">
      <c r="A9" s="59"/>
      <c r="B9" s="62"/>
      <c r="C9" s="113" t="s">
        <v>7</v>
      </c>
      <c r="D9" s="114">
        <f>DATA!D15</f>
        <v>4481600000</v>
      </c>
      <c r="E9" s="115">
        <f>DATA!V15</f>
        <v>3091673037.2150002</v>
      </c>
      <c r="F9" s="116">
        <f t="shared" si="0"/>
        <v>0.68985921037464304</v>
      </c>
      <c r="G9" s="259">
        <f>DATA!Y15</f>
        <v>24.146999999999998</v>
      </c>
      <c r="H9" s="259">
        <f>DATA!AB15</f>
        <v>14.417999999999999</v>
      </c>
      <c r="I9" s="118">
        <v>0</v>
      </c>
      <c r="J9" s="231">
        <v>4742753846.8430004</v>
      </c>
      <c r="K9" s="117">
        <f t="shared" si="1"/>
        <v>-0.34812702976922094</v>
      </c>
      <c r="L9" s="230">
        <f t="shared" si="2"/>
        <v>99731388.297258064</v>
      </c>
      <c r="M9" s="262">
        <f t="shared" si="3"/>
        <v>3091673037.2150002</v>
      </c>
      <c r="N9" s="119">
        <f t="shared" si="4"/>
        <v>0.68985921037464304</v>
      </c>
      <c r="O9" s="119">
        <f t="shared" si="5"/>
        <v>-0.34812702976922094</v>
      </c>
      <c r="P9" s="150" t="str">
        <f t="shared" si="6"/>
        <v>7C</v>
      </c>
      <c r="Q9" s="298"/>
      <c r="R9" s="298"/>
      <c r="S9" s="299"/>
      <c r="T9" s="300"/>
    </row>
    <row r="10" spans="1:20" s="64" customFormat="1" x14ac:dyDescent="0.3">
      <c r="A10" s="63"/>
      <c r="B10" s="232" t="s">
        <v>157</v>
      </c>
      <c r="C10" s="233"/>
      <c r="D10" s="237">
        <f>SUM(D5:D9)</f>
        <v>18973500000</v>
      </c>
      <c r="E10" s="237">
        <f>SUM(E5:E9)</f>
        <v>12876117337.91</v>
      </c>
      <c r="F10" s="238">
        <f t="shared" si="0"/>
        <v>0.67863690610114102</v>
      </c>
      <c r="G10" s="239"/>
      <c r="H10" s="260"/>
      <c r="I10" s="234"/>
      <c r="J10" s="240">
        <f>SUM(J5:J9)</f>
        <v>19814586143.788998</v>
      </c>
      <c r="K10" s="238">
        <f t="shared" si="1"/>
        <v>-0.35016975653836219</v>
      </c>
      <c r="L10" s="240">
        <f>SUM(L5:L9)</f>
        <v>415358623.8035484</v>
      </c>
      <c r="M10" s="240">
        <f>SUM(M5:M9)</f>
        <v>12876117337.91</v>
      </c>
      <c r="N10" s="241">
        <f t="shared" si="4"/>
        <v>0.67863690610114102</v>
      </c>
      <c r="O10" s="241">
        <f t="shared" si="5"/>
        <v>-0.35016975653836219</v>
      </c>
      <c r="P10" s="150">
        <f t="shared" si="6"/>
        <v>0</v>
      </c>
      <c r="Q10" s="298"/>
      <c r="R10" s="298"/>
      <c r="S10" s="299"/>
      <c r="T10" s="300"/>
    </row>
    <row r="11" spans="1:20" x14ac:dyDescent="0.3">
      <c r="A11" s="59"/>
      <c r="B11" s="112" t="s">
        <v>158</v>
      </c>
      <c r="C11" s="113" t="s">
        <v>3</v>
      </c>
      <c r="D11" s="114">
        <f>DATA!D16</f>
        <v>30567900000</v>
      </c>
      <c r="E11" s="115">
        <f>DATA!V16</f>
        <v>24716895405.119999</v>
      </c>
      <c r="F11" s="116">
        <f t="shared" si="0"/>
        <v>0.80858990657258101</v>
      </c>
      <c r="G11" s="259">
        <f>DATA!Y16</f>
        <v>16.513999999999999</v>
      </c>
      <c r="H11" s="259">
        <f>DATA!AB16</f>
        <v>7.51</v>
      </c>
      <c r="I11" s="118">
        <v>0</v>
      </c>
      <c r="J11" s="231">
        <v>29915416819.196011</v>
      </c>
      <c r="K11" s="117">
        <f t="shared" si="1"/>
        <v>-0.17377399236972169</v>
      </c>
      <c r="L11" s="230">
        <f t="shared" ref="L11:L13" si="7">((E11/$C$2)*31)/31</f>
        <v>797319206.6167742</v>
      </c>
      <c r="M11" s="262">
        <f t="shared" ref="M11:M13" si="8">L11*31</f>
        <v>24716895405.119999</v>
      </c>
      <c r="N11" s="119">
        <f t="shared" si="4"/>
        <v>0.80858990657258101</v>
      </c>
      <c r="O11" s="119">
        <f t="shared" si="5"/>
        <v>-0.17377399236972169</v>
      </c>
      <c r="P11" s="150" t="str">
        <f t="shared" si="6"/>
        <v>8A</v>
      </c>
      <c r="Q11" s="298"/>
      <c r="R11" s="298"/>
      <c r="S11" s="299"/>
      <c r="T11" s="300"/>
    </row>
    <row r="12" spans="1:20" x14ac:dyDescent="0.3">
      <c r="A12" s="59"/>
      <c r="B12" s="62"/>
      <c r="C12" s="113" t="s">
        <v>4</v>
      </c>
      <c r="D12" s="114">
        <f>DATA!D17</f>
        <v>35105200000</v>
      </c>
      <c r="E12" s="115">
        <f>DATA!V17</f>
        <v>33545289087.424999</v>
      </c>
      <c r="F12" s="116">
        <f t="shared" si="0"/>
        <v>0.95556467666969569</v>
      </c>
      <c r="G12" s="259">
        <f>DATA!Y17</f>
        <v>12.878</v>
      </c>
      <c r="H12" s="259">
        <f>DATA!AB17</f>
        <v>10.07</v>
      </c>
      <c r="I12" s="118">
        <v>0</v>
      </c>
      <c r="J12" s="231">
        <v>33665778256.000999</v>
      </c>
      <c r="K12" s="117">
        <f t="shared" si="1"/>
        <v>-3.5789806390268955E-3</v>
      </c>
      <c r="L12" s="230">
        <f t="shared" si="7"/>
        <v>1082106099.5943549</v>
      </c>
      <c r="M12" s="262">
        <f t="shared" si="8"/>
        <v>33545289087.424999</v>
      </c>
      <c r="N12" s="119">
        <f t="shared" si="4"/>
        <v>0.95556467666969569</v>
      </c>
      <c r="O12" s="119">
        <f t="shared" si="5"/>
        <v>-3.5789806390268955E-3</v>
      </c>
      <c r="P12" s="150" t="str">
        <f t="shared" si="6"/>
        <v>8B</v>
      </c>
      <c r="Q12" s="298"/>
      <c r="R12" s="298"/>
      <c r="S12" s="299"/>
      <c r="T12" s="300"/>
    </row>
    <row r="13" spans="1:20" x14ac:dyDescent="0.3">
      <c r="A13" s="59"/>
      <c r="B13" s="62"/>
      <c r="C13" s="113" t="s">
        <v>8</v>
      </c>
      <c r="D13" s="114">
        <f>DATA!D18</f>
        <v>16053100000</v>
      </c>
      <c r="E13" s="115">
        <f>DATA!V18</f>
        <v>15044573726.733</v>
      </c>
      <c r="F13" s="116">
        <f t="shared" si="0"/>
        <v>0.93717560637714836</v>
      </c>
      <c r="G13" s="259">
        <f>DATA!Y18</f>
        <v>10.095000000000001</v>
      </c>
      <c r="H13" s="259">
        <f>DATA!AB18</f>
        <v>5.9729999999999999</v>
      </c>
      <c r="I13" s="118">
        <v>0</v>
      </c>
      <c r="J13" s="231">
        <v>15246771454.177999</v>
      </c>
      <c r="K13" s="117">
        <f t="shared" si="1"/>
        <v>-1.3261674975103823E-2</v>
      </c>
      <c r="L13" s="230">
        <f t="shared" si="7"/>
        <v>485308829.89461291</v>
      </c>
      <c r="M13" s="262">
        <f t="shared" si="8"/>
        <v>15044573726.733</v>
      </c>
      <c r="N13" s="119">
        <f t="shared" si="4"/>
        <v>0.93717560637714836</v>
      </c>
      <c r="O13" s="119">
        <f t="shared" si="5"/>
        <v>-1.3261674975103823E-2</v>
      </c>
      <c r="P13" s="150" t="str">
        <f t="shared" si="6"/>
        <v>8C</v>
      </c>
      <c r="Q13" s="298"/>
      <c r="R13" s="298"/>
      <c r="S13" s="299"/>
      <c r="T13" s="300"/>
    </row>
    <row r="14" spans="1:20" s="64" customFormat="1" x14ac:dyDescent="0.3">
      <c r="A14" s="63"/>
      <c r="B14" s="235" t="s">
        <v>158</v>
      </c>
      <c r="C14" s="236"/>
      <c r="D14" s="237">
        <f>SUM(D11:D13)</f>
        <v>81726200000</v>
      </c>
      <c r="E14" s="237">
        <f>SUM(E11:E13)</f>
        <v>73306758219.278</v>
      </c>
      <c r="F14" s="238">
        <f t="shared" ref="F14" si="9">E14/D14</f>
        <v>0.89697989407653844</v>
      </c>
      <c r="G14" s="239"/>
      <c r="H14" s="260"/>
      <c r="I14" s="234"/>
      <c r="J14" s="240">
        <f>SUM(J11:J13)</f>
        <v>78827966529.375</v>
      </c>
      <c r="K14" s="238">
        <f t="shared" ref="K14" si="10">(E14-J14)/J14</f>
        <v>-7.0041237306807086E-2</v>
      </c>
      <c r="L14" s="240">
        <f>SUM(L11:L13)</f>
        <v>2364734136.105742</v>
      </c>
      <c r="M14" s="240">
        <f>SUM(M11:M13)</f>
        <v>73306758219.278</v>
      </c>
      <c r="N14" s="241">
        <f t="shared" ref="N14" si="11">M14/D14</f>
        <v>0.89697989407653844</v>
      </c>
      <c r="O14" s="241">
        <f t="shared" ref="O14" si="12">(M14-J14)/J14</f>
        <v>-7.0041237306807086E-2</v>
      </c>
      <c r="P14" s="150">
        <f t="shared" ref="P14" si="13">C14</f>
        <v>0</v>
      </c>
      <c r="Q14" s="298"/>
      <c r="R14" s="298"/>
      <c r="S14" s="299"/>
      <c r="T14" s="300"/>
    </row>
    <row r="15" spans="1:20" x14ac:dyDescent="0.3">
      <c r="A15" s="59"/>
      <c r="B15" s="62" t="s">
        <v>159</v>
      </c>
      <c r="C15" s="113" t="s">
        <v>9</v>
      </c>
      <c r="D15" s="114">
        <f>DATA!D19</f>
        <v>17510200000</v>
      </c>
      <c r="E15" s="115">
        <f>DATA!V19</f>
        <v>12211904158.860001</v>
      </c>
      <c r="F15" s="116">
        <f t="shared" si="0"/>
        <v>0.69741660054482535</v>
      </c>
      <c r="G15" s="259">
        <f>DATA!Y19</f>
        <v>0.51100000000000001</v>
      </c>
      <c r="H15" s="259">
        <f>DATA!AB19</f>
        <v>0.90200000000000002</v>
      </c>
      <c r="I15" s="118">
        <v>0</v>
      </c>
      <c r="J15" s="231">
        <v>18441326774.785995</v>
      </c>
      <c r="K15" s="117">
        <f t="shared" si="1"/>
        <v>-0.33779687828335686</v>
      </c>
      <c r="L15" s="230">
        <f>((E15/$C$2)*31)/31</f>
        <v>393932392.22129035</v>
      </c>
      <c r="M15" s="262">
        <f>L15*31</f>
        <v>12211904158.860001</v>
      </c>
      <c r="N15" s="119">
        <f t="shared" si="4"/>
        <v>0.69741660054482535</v>
      </c>
      <c r="O15" s="119">
        <f t="shared" si="5"/>
        <v>-0.33779687828335686</v>
      </c>
      <c r="P15" s="150" t="str">
        <f t="shared" si="6"/>
        <v>8D</v>
      </c>
      <c r="Q15" s="298"/>
      <c r="R15" s="298"/>
      <c r="S15" s="299"/>
      <c r="T15" s="300"/>
    </row>
    <row r="16" spans="1:20" s="64" customFormat="1" x14ac:dyDescent="0.3">
      <c r="A16" s="63"/>
      <c r="B16" s="235" t="s">
        <v>160</v>
      </c>
      <c r="C16" s="236"/>
      <c r="D16" s="237">
        <f>SUM(D15)</f>
        <v>17510200000</v>
      </c>
      <c r="E16" s="237">
        <f>SUM(E15)</f>
        <v>12211904158.860001</v>
      </c>
      <c r="F16" s="238">
        <f t="shared" si="0"/>
        <v>0.69741660054482535</v>
      </c>
      <c r="G16" s="239"/>
      <c r="H16" s="260"/>
      <c r="I16" s="234"/>
      <c r="J16" s="240">
        <f>SUM(J15)</f>
        <v>18441326774.785995</v>
      </c>
      <c r="K16" s="238">
        <f t="shared" si="1"/>
        <v>-0.33779687828335686</v>
      </c>
      <c r="L16" s="240">
        <f>SUM(L15)</f>
        <v>393932392.22129035</v>
      </c>
      <c r="M16" s="240">
        <f>SUM(M15)</f>
        <v>12211904158.860001</v>
      </c>
      <c r="N16" s="241">
        <f t="shared" si="4"/>
        <v>0.69741660054482535</v>
      </c>
      <c r="O16" s="241">
        <f t="shared" si="5"/>
        <v>-0.33779687828335686</v>
      </c>
      <c r="P16" s="150">
        <f t="shared" si="6"/>
        <v>0</v>
      </c>
      <c r="Q16" s="298"/>
      <c r="R16" s="298"/>
      <c r="S16" s="299"/>
      <c r="T16" s="300"/>
    </row>
    <row r="17" spans="1:20" s="67" customFormat="1" ht="19.5" customHeight="1" x14ac:dyDescent="0.3">
      <c r="A17" s="65"/>
      <c r="B17" s="242"/>
      <c r="C17" s="242" t="s">
        <v>10</v>
      </c>
      <c r="D17" s="305">
        <f>D16+D14+D10</f>
        <v>118209900000</v>
      </c>
      <c r="E17" s="305">
        <f>E16+E14+E10</f>
        <v>98394779716.048004</v>
      </c>
      <c r="F17" s="306">
        <f>E17/D17</f>
        <v>0.83237342824964744</v>
      </c>
      <c r="G17" s="307">
        <f>DATA!Y20</f>
        <v>13.497999999999999</v>
      </c>
      <c r="H17" s="307">
        <f>DATA!AB23</f>
        <v>10.4723680623469</v>
      </c>
      <c r="I17" s="308">
        <v>0</v>
      </c>
      <c r="J17" s="309">
        <f>J16+J14+J10</f>
        <v>117083879447.95</v>
      </c>
      <c r="K17" s="306">
        <f t="shared" si="1"/>
        <v>-0.15962145958966359</v>
      </c>
      <c r="L17" s="309">
        <f>L16+L14+L10</f>
        <v>3174025152.1305804</v>
      </c>
      <c r="M17" s="309">
        <f>M16+M14+M10</f>
        <v>98394779716.048004</v>
      </c>
      <c r="N17" s="310">
        <f>M17/D17</f>
        <v>0.83237342824964744</v>
      </c>
      <c r="O17" s="310">
        <f t="shared" si="5"/>
        <v>-0.15962145958966359</v>
      </c>
      <c r="P17" s="150"/>
      <c r="Q17" s="298"/>
      <c r="R17" s="298"/>
      <c r="S17" s="299"/>
      <c r="T17" s="300"/>
    </row>
    <row r="18" spans="1:20" s="122" customFormat="1" ht="15" customHeight="1" x14ac:dyDescent="0.3">
      <c r="A18" s="121"/>
      <c r="D18" s="123"/>
      <c r="E18" s="123"/>
      <c r="F18" s="124"/>
      <c r="G18" s="169"/>
      <c r="H18" s="124"/>
      <c r="I18" s="125"/>
      <c r="J18" s="123"/>
      <c r="K18" s="124"/>
      <c r="L18" s="126"/>
      <c r="M18" s="126"/>
      <c r="N18" s="126"/>
      <c r="O18" s="124"/>
      <c r="P18" s="127"/>
    </row>
    <row r="19" spans="1:20" s="122" customFormat="1" x14ac:dyDescent="0.3">
      <c r="A19" s="121"/>
      <c r="D19" s="123"/>
      <c r="E19" s="123"/>
      <c r="F19" s="124"/>
      <c r="G19" s="169"/>
      <c r="H19" s="124"/>
      <c r="I19" s="125"/>
      <c r="J19" s="123"/>
      <c r="K19" s="123"/>
      <c r="L19" s="126"/>
      <c r="M19" s="126"/>
      <c r="N19" s="126"/>
      <c r="P19" s="127"/>
    </row>
    <row r="20" spans="1:20" s="67" customFormat="1" x14ac:dyDescent="0.3">
      <c r="A20" s="65"/>
      <c r="D20" s="68"/>
      <c r="E20" s="68"/>
      <c r="F20" s="69"/>
      <c r="G20" s="69"/>
      <c r="H20" s="69"/>
      <c r="I20" s="69"/>
      <c r="J20" s="68"/>
      <c r="K20" s="68"/>
      <c r="L20" s="68"/>
      <c r="M20" s="68"/>
      <c r="N20" s="70"/>
      <c r="P20" s="66"/>
    </row>
    <row r="21" spans="1:20" s="67" customFormat="1" x14ac:dyDescent="0.3">
      <c r="A21" s="65"/>
      <c r="D21" s="68"/>
      <c r="E21" s="68"/>
      <c r="F21" s="69"/>
      <c r="G21" s="69"/>
      <c r="H21" s="69"/>
      <c r="I21" s="69"/>
      <c r="J21" s="68"/>
      <c r="K21" s="68"/>
      <c r="L21" s="68"/>
      <c r="M21" s="68"/>
      <c r="N21" s="70"/>
      <c r="P21" s="66"/>
    </row>
    <row r="22" spans="1:20" s="67" customFormat="1" x14ac:dyDescent="0.3">
      <c r="A22" s="65"/>
      <c r="D22" s="68"/>
      <c r="E22" s="68"/>
      <c r="F22" s="69"/>
      <c r="G22" s="69"/>
      <c r="H22" s="69"/>
      <c r="I22" s="69"/>
      <c r="J22" s="68"/>
      <c r="K22" s="68"/>
      <c r="L22" s="68"/>
      <c r="M22" s="68"/>
      <c r="N22" s="70"/>
      <c r="P22" s="66"/>
    </row>
    <row r="23" spans="1:20" s="67" customFormat="1" x14ac:dyDescent="0.3">
      <c r="A23" s="65"/>
      <c r="D23" s="68"/>
      <c r="E23" s="68"/>
      <c r="F23" s="69"/>
      <c r="G23" s="69"/>
      <c r="H23" s="69"/>
      <c r="I23" s="69"/>
      <c r="J23" s="68"/>
      <c r="K23" s="68"/>
      <c r="L23" s="68"/>
      <c r="M23" s="68"/>
      <c r="N23" s="70"/>
      <c r="P23" s="66"/>
    </row>
    <row r="24" spans="1:20" s="67" customFormat="1" x14ac:dyDescent="0.3">
      <c r="A24" s="65"/>
      <c r="D24" s="68"/>
      <c r="E24" s="68"/>
      <c r="F24" s="69"/>
      <c r="G24" s="69"/>
      <c r="H24" s="69"/>
      <c r="I24" s="69"/>
      <c r="J24" s="68"/>
      <c r="K24" s="68"/>
      <c r="L24" s="68"/>
      <c r="M24" s="68"/>
      <c r="N24" s="70"/>
      <c r="P24" s="66"/>
      <c r="Q24" s="75"/>
    </row>
    <row r="25" spans="1:20" s="67" customFormat="1" x14ac:dyDescent="0.3">
      <c r="A25" s="65"/>
      <c r="D25" s="68"/>
      <c r="E25" s="68"/>
      <c r="F25" s="69"/>
      <c r="G25" s="69"/>
      <c r="H25" s="69"/>
      <c r="I25" s="69"/>
      <c r="J25" s="68"/>
      <c r="K25" s="68"/>
      <c r="L25" s="68"/>
      <c r="M25" s="68"/>
      <c r="N25" s="70"/>
      <c r="P25" s="66"/>
      <c r="Q25" s="75"/>
    </row>
    <row r="26" spans="1:20" x14ac:dyDescent="0.3">
      <c r="A26" s="59"/>
      <c r="P26" s="60"/>
      <c r="Q26" s="122"/>
    </row>
    <row r="27" spans="1:20" x14ac:dyDescent="0.3">
      <c r="A27" s="59"/>
      <c r="P27" s="60"/>
      <c r="Q27" s="122"/>
    </row>
    <row r="28" spans="1:20" x14ac:dyDescent="0.3">
      <c r="A28" s="59"/>
      <c r="P28" s="60"/>
      <c r="Q28" s="122"/>
    </row>
    <row r="29" spans="1:20" x14ac:dyDescent="0.3">
      <c r="A29" s="59"/>
      <c r="P29" s="60"/>
      <c r="Q29" s="122"/>
    </row>
    <row r="30" spans="1:20" x14ac:dyDescent="0.3">
      <c r="A30" s="59"/>
      <c r="P30" s="60"/>
      <c r="Q30" s="122"/>
    </row>
    <row r="31" spans="1:20" x14ac:dyDescent="0.3">
      <c r="A31" s="59"/>
      <c r="P31" s="60"/>
      <c r="Q31" s="122"/>
    </row>
    <row r="32" spans="1:20" hidden="1" x14ac:dyDescent="0.3">
      <c r="A32" s="59"/>
      <c r="P32" s="60"/>
      <c r="Q32" s="122"/>
    </row>
    <row r="33" spans="1:17" s="67" customFormat="1" x14ac:dyDescent="0.3">
      <c r="A33" s="65"/>
      <c r="B33" s="129" t="s">
        <v>14</v>
      </c>
      <c r="C33" s="129"/>
      <c r="D33" s="130"/>
      <c r="E33" s="130" t="s">
        <v>15</v>
      </c>
      <c r="F33" s="131" t="s">
        <v>0</v>
      </c>
      <c r="G33" s="132"/>
      <c r="H33" s="132"/>
      <c r="I33" s="132"/>
      <c r="J33" s="132"/>
      <c r="K33" s="132"/>
      <c r="L33" s="132"/>
      <c r="M33" s="132"/>
      <c r="N33" s="133"/>
      <c r="O33" s="129"/>
      <c r="P33" s="66"/>
      <c r="Q33" s="158"/>
    </row>
    <row r="34" spans="1:17" s="67" customFormat="1" ht="17.25" customHeight="1" x14ac:dyDescent="0.3">
      <c r="A34" s="65"/>
      <c r="B34" s="67" t="s">
        <v>16</v>
      </c>
      <c r="D34" s="71"/>
      <c r="E34" s="180">
        <f>MAX(F5,F6,F7,F8,F9,F11,F12,F13,F15)</f>
        <v>0.95556467666969569</v>
      </c>
      <c r="F34" s="71" t="str">
        <f>VLOOKUP(E34,F$5:P$17,11,FALSE)</f>
        <v>8B</v>
      </c>
      <c r="G34" s="180"/>
      <c r="H34" s="71"/>
      <c r="I34" s="69"/>
      <c r="J34" s="68" t="s">
        <v>131</v>
      </c>
      <c r="L34" s="68"/>
      <c r="M34" s="73">
        <f>M17</f>
        <v>98394779716.048004</v>
      </c>
      <c r="N34" s="70"/>
      <c r="P34" s="66"/>
      <c r="Q34" s="74"/>
    </row>
    <row r="35" spans="1:17" s="67" customFormat="1" x14ac:dyDescent="0.3">
      <c r="A35" s="65"/>
      <c r="B35" s="67" t="s">
        <v>17</v>
      </c>
      <c r="D35" s="71"/>
      <c r="E35" s="181">
        <f>MAX(E5:E9,E11:E13,E15)</f>
        <v>33545289087.424999</v>
      </c>
      <c r="F35" s="71" t="str">
        <f>VLOOKUP(E35,E5:P16,12,FALSE)</f>
        <v>8B</v>
      </c>
      <c r="G35" s="181"/>
      <c r="H35" s="71"/>
      <c r="I35" s="69"/>
      <c r="J35" s="68" t="s">
        <v>132</v>
      </c>
      <c r="L35" s="68"/>
      <c r="M35" s="72">
        <f>N17</f>
        <v>0.83237342824964744</v>
      </c>
      <c r="N35" s="70"/>
      <c r="P35" s="66"/>
      <c r="Q35" s="76"/>
    </row>
    <row r="36" spans="1:17" x14ac:dyDescent="0.3">
      <c r="A36" s="59"/>
      <c r="B36" s="331" t="s">
        <v>29</v>
      </c>
      <c r="C36" s="331"/>
      <c r="D36" s="77"/>
      <c r="E36" s="273">
        <f>MAX(O5:O9,O11:O13,O15)</f>
        <v>-3.5789806390268955E-3</v>
      </c>
      <c r="F36" s="71" t="str">
        <f>VLOOKUP(E36,O5:P16,2,FALSE)</f>
        <v>8B</v>
      </c>
      <c r="G36" s="135"/>
      <c r="H36" s="77"/>
      <c r="P36" s="60"/>
      <c r="Q36" s="122"/>
    </row>
    <row r="37" spans="1:17" ht="5.25" customHeight="1" x14ac:dyDescent="0.3">
      <c r="A37" s="59"/>
      <c r="P37" s="60"/>
      <c r="Q37" s="122"/>
    </row>
    <row r="38" spans="1:17" x14ac:dyDescent="0.3">
      <c r="A38" s="59"/>
      <c r="P38" s="60"/>
      <c r="Q38" s="122"/>
    </row>
    <row r="39" spans="1:17" hidden="1" x14ac:dyDescent="0.3">
      <c r="A39" s="59"/>
      <c r="P39" s="60"/>
      <c r="Q39" s="122"/>
    </row>
    <row r="40" spans="1:17" hidden="1" x14ac:dyDescent="0.3">
      <c r="A40" s="59"/>
      <c r="D40" s="134"/>
      <c r="F40" s="135"/>
      <c r="P40" s="60"/>
      <c r="Q40" s="122"/>
    </row>
    <row r="41" spans="1:17" ht="17.25" thickBot="1" x14ac:dyDescent="0.35">
      <c r="A41" s="136"/>
      <c r="B41" s="137"/>
      <c r="C41" s="137"/>
      <c r="D41" s="138"/>
      <c r="E41" s="138"/>
      <c r="F41" s="139"/>
      <c r="G41" s="139"/>
      <c r="H41" s="139"/>
      <c r="I41" s="139"/>
      <c r="J41" s="138"/>
      <c r="K41" s="138"/>
      <c r="L41" s="138"/>
      <c r="M41" s="138"/>
      <c r="N41" s="140"/>
      <c r="O41" s="137"/>
      <c r="P41" s="141"/>
      <c r="Q41" s="122"/>
    </row>
    <row r="42" spans="1:17" ht="18" thickTop="1" thickBot="1" x14ac:dyDescent="0.35">
      <c r="D42" s="123"/>
      <c r="E42" s="123"/>
      <c r="F42" s="125"/>
      <c r="G42" s="125"/>
      <c r="H42" s="125"/>
      <c r="I42" s="125"/>
      <c r="J42" s="123"/>
      <c r="K42" s="123"/>
      <c r="L42" s="123"/>
    </row>
    <row r="43" spans="1:17" ht="17.25" thickTop="1" x14ac:dyDescent="0.3">
      <c r="A43" s="94"/>
      <c r="B43" s="95" t="s">
        <v>53</v>
      </c>
      <c r="C43" s="96"/>
      <c r="D43" s="142"/>
      <c r="E43" s="142"/>
      <c r="F43" s="101"/>
      <c r="G43" s="101"/>
      <c r="H43" s="101"/>
      <c r="I43" s="143"/>
      <c r="J43" s="265"/>
      <c r="K43" s="265"/>
      <c r="L43" s="265"/>
      <c r="M43" s="123"/>
      <c r="N43" s="144"/>
      <c r="P43" s="120"/>
      <c r="Q43" s="120"/>
    </row>
    <row r="44" spans="1:17" ht="8.25" customHeight="1" x14ac:dyDescent="0.3">
      <c r="A44" s="59"/>
      <c r="B44" s="67"/>
      <c r="D44" s="123"/>
      <c r="E44" s="123"/>
      <c r="F44" s="125"/>
      <c r="G44" s="125"/>
      <c r="H44" s="125"/>
      <c r="I44" s="145"/>
      <c r="J44" s="265"/>
      <c r="K44" s="266"/>
      <c r="L44" s="265"/>
      <c r="M44" s="123"/>
      <c r="N44" s="144"/>
      <c r="P44" s="120"/>
      <c r="Q44" s="120"/>
    </row>
    <row r="45" spans="1:17" ht="29.25" customHeight="1" x14ac:dyDescent="0.3">
      <c r="A45" s="65"/>
      <c r="B45" s="332" t="s">
        <v>49</v>
      </c>
      <c r="C45" s="332"/>
      <c r="D45" s="78" t="s">
        <v>27</v>
      </c>
      <c r="E45" s="78" t="s">
        <v>1</v>
      </c>
      <c r="F45" s="214"/>
      <c r="G45" s="79" t="s">
        <v>45</v>
      </c>
      <c r="H45" s="80" t="s">
        <v>54</v>
      </c>
      <c r="I45" s="85"/>
      <c r="J45" s="267" t="s">
        <v>55</v>
      </c>
      <c r="K45" s="263"/>
      <c r="L45" s="268"/>
      <c r="M45" s="146"/>
      <c r="N45" s="144"/>
      <c r="P45" s="120"/>
      <c r="Q45" s="120"/>
    </row>
    <row r="46" spans="1:17" x14ac:dyDescent="0.3">
      <c r="A46" s="59"/>
      <c r="B46" s="333" t="s">
        <v>50</v>
      </c>
      <c r="C46" s="333"/>
      <c r="D46" s="182">
        <f>D17</f>
        <v>118209900000</v>
      </c>
      <c r="E46" s="182">
        <f>E17</f>
        <v>98394779716.048004</v>
      </c>
      <c r="F46" s="147">
        <f>(E46/$C$2)*31</f>
        <v>98394779716.048004</v>
      </c>
      <c r="G46" s="148">
        <f>F17</f>
        <v>0.83237342824964744</v>
      </c>
      <c r="H46" s="148">
        <f>O17</f>
        <v>-0.15962145958966359</v>
      </c>
      <c r="I46" s="222"/>
      <c r="J46" s="263">
        <f>J17</f>
        <v>117083879447.95</v>
      </c>
      <c r="K46" s="269"/>
      <c r="L46" s="270"/>
      <c r="M46" s="146"/>
      <c r="N46" s="144"/>
      <c r="P46" s="120"/>
      <c r="Q46" s="120"/>
    </row>
    <row r="47" spans="1:17" x14ac:dyDescent="0.3">
      <c r="A47" s="213" t="s">
        <v>147</v>
      </c>
      <c r="B47" s="333" t="s">
        <v>51</v>
      </c>
      <c r="C47" s="333"/>
      <c r="D47" s="271">
        <v>169653900000</v>
      </c>
      <c r="E47" s="272">
        <f>D47*62.47%</f>
        <v>105982791330</v>
      </c>
      <c r="F47" s="147">
        <f>(E47/$C$2)*30</f>
        <v>102563991609.67743</v>
      </c>
      <c r="G47" s="148">
        <f t="shared" ref="G47:G48" si="14">E47/D47</f>
        <v>0.62470000000000003</v>
      </c>
      <c r="H47" s="148">
        <f>(F47-J47)/J47</f>
        <v>-0.43022642457179522</v>
      </c>
      <c r="I47" s="222"/>
      <c r="J47" s="263">
        <v>180008333192</v>
      </c>
      <c r="K47" s="269"/>
      <c r="L47" s="263"/>
      <c r="M47" s="146"/>
      <c r="N47" s="144"/>
      <c r="P47" s="120"/>
      <c r="Q47" s="120"/>
    </row>
    <row r="48" spans="1:17" x14ac:dyDescent="0.3">
      <c r="A48" s="213" t="s">
        <v>147</v>
      </c>
      <c r="B48" s="333" t="s">
        <v>52</v>
      </c>
      <c r="C48" s="333"/>
      <c r="D48" s="271">
        <v>223412700000</v>
      </c>
      <c r="E48" s="272">
        <f>D48*62.06%</f>
        <v>138649921620</v>
      </c>
      <c r="F48" s="147">
        <f>(E48/$C$2)*30</f>
        <v>134177343503.22581</v>
      </c>
      <c r="G48" s="148">
        <f t="shared" si="14"/>
        <v>0.62060000000000004</v>
      </c>
      <c r="H48" s="148">
        <f t="shared" ref="H48:H49" si="15">(F48-J48)/J48</f>
        <v>-0.51623254986821965</v>
      </c>
      <c r="I48" s="222"/>
      <c r="J48" s="263">
        <v>277359180463</v>
      </c>
      <c r="K48" s="269"/>
      <c r="L48" s="263"/>
      <c r="M48" s="146"/>
      <c r="N48" s="144"/>
      <c r="P48" s="120"/>
      <c r="Q48" s="120"/>
    </row>
    <row r="49" spans="1:17" x14ac:dyDescent="0.3">
      <c r="A49" s="65"/>
      <c r="B49" s="81" t="s">
        <v>10</v>
      </c>
      <c r="C49" s="81"/>
      <c r="D49" s="149">
        <f>SUM(D46:D48)</f>
        <v>511276500000</v>
      </c>
      <c r="E49" s="149">
        <f>SUM(E46:E48)</f>
        <v>343027492666.04797</v>
      </c>
      <c r="F49" s="221">
        <f>SUM(F46:F48)</f>
        <v>335136114828.95123</v>
      </c>
      <c r="G49" s="82">
        <f>E50/D49</f>
        <v>0.6709236443803851</v>
      </c>
      <c r="H49" s="82">
        <f t="shared" si="15"/>
        <v>-0.41659795963121632</v>
      </c>
      <c r="I49" s="222"/>
      <c r="J49" s="264">
        <f>SUM(J46:J48)</f>
        <v>574451393102.94995</v>
      </c>
      <c r="K49" s="269"/>
      <c r="L49" s="264"/>
      <c r="M49" s="146"/>
      <c r="N49" s="144"/>
      <c r="P49" s="120"/>
      <c r="Q49" s="120"/>
    </row>
    <row r="50" spans="1:17" x14ac:dyDescent="0.3">
      <c r="A50" s="59"/>
      <c r="D50" s="123"/>
      <c r="E50" s="149">
        <f>SUM(E46:E48)</f>
        <v>343027492666.04797</v>
      </c>
      <c r="F50" s="125"/>
      <c r="G50" s="125"/>
      <c r="H50" s="125"/>
      <c r="I50" s="145"/>
      <c r="J50" s="263"/>
      <c r="K50" s="263"/>
      <c r="L50" s="263"/>
      <c r="M50" s="146"/>
      <c r="N50" s="144"/>
      <c r="P50" s="120"/>
      <c r="Q50" s="120"/>
    </row>
    <row r="51" spans="1:17" x14ac:dyDescent="0.3">
      <c r="A51" s="59"/>
      <c r="D51" s="123"/>
      <c r="E51" s="123"/>
      <c r="F51" s="76"/>
      <c r="G51" s="125"/>
      <c r="H51" s="125"/>
      <c r="I51" s="145"/>
      <c r="J51" s="263"/>
      <c r="K51" s="263"/>
      <c r="L51" s="263"/>
      <c r="M51" s="146"/>
      <c r="N51" s="144"/>
      <c r="P51" s="120"/>
      <c r="Q51" s="120"/>
    </row>
    <row r="52" spans="1:17" x14ac:dyDescent="0.3">
      <c r="A52" s="65"/>
      <c r="B52" s="67"/>
      <c r="C52" s="67"/>
      <c r="D52" s="83"/>
      <c r="E52" s="123"/>
      <c r="F52" s="84"/>
      <c r="G52" s="84"/>
      <c r="H52" s="84"/>
      <c r="I52" s="85"/>
      <c r="J52" s="123"/>
      <c r="K52" s="123"/>
      <c r="L52" s="123"/>
      <c r="M52" s="123"/>
      <c r="N52" s="144"/>
      <c r="P52" s="120"/>
      <c r="Q52" s="120"/>
    </row>
    <row r="53" spans="1:17" ht="8.25" customHeight="1" x14ac:dyDescent="0.3">
      <c r="A53" s="65"/>
      <c r="B53" s="67"/>
      <c r="C53" s="67"/>
      <c r="D53" s="83"/>
      <c r="E53" s="83"/>
      <c r="F53" s="84"/>
      <c r="G53" s="84"/>
      <c r="H53" s="84"/>
      <c r="I53" s="85"/>
      <c r="J53" s="123"/>
      <c r="K53" s="123"/>
      <c r="L53" s="123"/>
      <c r="M53" s="123"/>
      <c r="N53" s="144"/>
      <c r="P53" s="120"/>
      <c r="Q53" s="120"/>
    </row>
    <row r="54" spans="1:17" ht="9" customHeight="1" x14ac:dyDescent="0.3">
      <c r="A54" s="65"/>
      <c r="B54" s="67"/>
      <c r="C54" s="67"/>
      <c r="D54" s="83"/>
      <c r="E54" s="83"/>
      <c r="F54" s="84"/>
      <c r="G54" s="84"/>
      <c r="H54" s="84"/>
      <c r="I54" s="85"/>
      <c r="J54" s="123"/>
      <c r="K54" s="123"/>
      <c r="L54" s="123"/>
      <c r="M54" s="123"/>
      <c r="N54" s="144"/>
      <c r="P54" s="120"/>
      <c r="Q54" s="120"/>
    </row>
    <row r="55" spans="1:17" ht="8.25" customHeight="1" x14ac:dyDescent="0.3">
      <c r="A55" s="65"/>
      <c r="B55" s="67"/>
      <c r="C55" s="67"/>
      <c r="D55" s="83"/>
      <c r="E55" s="83"/>
      <c r="F55" s="84"/>
      <c r="G55" s="84"/>
      <c r="H55" s="84"/>
      <c r="I55" s="85"/>
      <c r="J55" s="123"/>
      <c r="K55" s="123"/>
      <c r="L55" s="123"/>
      <c r="M55" s="123"/>
      <c r="N55" s="144"/>
      <c r="P55" s="120"/>
    </row>
    <row r="56" spans="1:17" x14ac:dyDescent="0.3">
      <c r="A56" s="65"/>
      <c r="B56" s="67"/>
      <c r="C56" s="67"/>
      <c r="D56" s="83"/>
      <c r="E56" s="83"/>
      <c r="F56" s="84"/>
      <c r="G56" s="84"/>
      <c r="H56" s="84"/>
      <c r="I56" s="85"/>
      <c r="J56" s="123"/>
      <c r="K56" s="123"/>
      <c r="L56" s="123"/>
      <c r="M56" s="123"/>
      <c r="N56" s="144"/>
    </row>
    <row r="57" spans="1:17" x14ac:dyDescent="0.3">
      <c r="A57" s="65"/>
      <c r="B57" s="67"/>
      <c r="C57" s="67"/>
      <c r="D57" s="83"/>
      <c r="E57" s="83"/>
      <c r="F57" s="84"/>
      <c r="G57" s="84"/>
      <c r="H57" s="84"/>
      <c r="I57" s="85"/>
      <c r="J57" s="123"/>
      <c r="K57" s="144"/>
      <c r="L57" s="123"/>
      <c r="M57" s="123"/>
      <c r="N57" s="151"/>
    </row>
    <row r="58" spans="1:17" ht="30.75" customHeight="1" thickBot="1" x14ac:dyDescent="0.35">
      <c r="A58" s="136"/>
      <c r="B58" s="137"/>
      <c r="C58" s="137"/>
      <c r="D58" s="152"/>
      <c r="E58" s="152"/>
      <c r="F58" s="153"/>
      <c r="G58" s="153"/>
      <c r="H58" s="153"/>
      <c r="I58" s="154"/>
      <c r="J58" s="123"/>
      <c r="K58" s="123"/>
      <c r="L58" s="123"/>
      <c r="M58" s="123"/>
      <c r="N58" s="151"/>
    </row>
    <row r="59" spans="1:17" ht="5.25" customHeight="1" thickTop="1" x14ac:dyDescent="0.3">
      <c r="B59" s="120"/>
      <c r="C59" s="122"/>
      <c r="D59" s="123"/>
      <c r="E59" s="123"/>
      <c r="F59" s="125"/>
      <c r="G59" s="125"/>
      <c r="H59" s="126"/>
      <c r="I59" s="126"/>
      <c r="J59" s="126"/>
      <c r="K59" s="123"/>
      <c r="L59" s="126"/>
      <c r="M59" s="123"/>
      <c r="N59" s="144"/>
    </row>
    <row r="60" spans="1:17" ht="4.5" customHeight="1" x14ac:dyDescent="0.3">
      <c r="B60" s="54"/>
      <c r="H60" s="123"/>
      <c r="I60" s="123"/>
      <c r="J60" s="123"/>
      <c r="K60" s="123"/>
      <c r="L60" s="123"/>
      <c r="M60" s="123"/>
      <c r="N60" s="144"/>
    </row>
    <row r="61" spans="1:17" s="86" customFormat="1" x14ac:dyDescent="0.3">
      <c r="B61" s="178"/>
      <c r="C61" s="155"/>
      <c r="D61" s="156"/>
      <c r="E61" s="105"/>
      <c r="F61" s="14" t="s">
        <v>138</v>
      </c>
      <c r="K61" s="88"/>
      <c r="L61" s="88"/>
      <c r="M61" s="88"/>
      <c r="N61" s="89"/>
    </row>
    <row r="62" spans="1:17" s="86" customFormat="1" ht="12.75" x14ac:dyDescent="0.2">
      <c r="C62" s="155"/>
      <c r="F62" s="86" t="s">
        <v>329</v>
      </c>
      <c r="H62" s="90"/>
      <c r="I62" s="90"/>
      <c r="J62" s="88"/>
      <c r="K62" s="88"/>
      <c r="L62" s="88"/>
      <c r="M62" s="88"/>
      <c r="N62" s="89"/>
    </row>
    <row r="63" spans="1:17" x14ac:dyDescent="0.3">
      <c r="B63" s="178"/>
      <c r="D63" s="61"/>
      <c r="E63" s="87"/>
      <c r="H63" s="105"/>
      <c r="I63" s="105"/>
      <c r="J63" s="123"/>
      <c r="K63" s="123"/>
      <c r="L63" s="123"/>
      <c r="M63" s="123"/>
      <c r="N63" s="144"/>
    </row>
    <row r="64" spans="1:17" x14ac:dyDescent="0.3">
      <c r="H64" s="105"/>
      <c r="I64" s="105"/>
      <c r="J64" s="123"/>
      <c r="K64" s="123"/>
      <c r="L64" s="123"/>
      <c r="M64" s="123"/>
    </row>
    <row r="65" spans="8:13" x14ac:dyDescent="0.3">
      <c r="H65" s="105"/>
      <c r="I65" s="105"/>
      <c r="J65" s="123"/>
      <c r="K65" s="123"/>
      <c r="L65" s="123"/>
      <c r="M65" s="123"/>
    </row>
    <row r="66" spans="8:13" x14ac:dyDescent="0.3">
      <c r="H66" s="105"/>
      <c r="I66" s="105"/>
      <c r="J66" s="123"/>
      <c r="K66" s="123"/>
      <c r="L66" s="123"/>
      <c r="M66" s="123"/>
    </row>
  </sheetData>
  <dataConsolidate/>
  <mergeCells count="5">
    <mergeCell ref="B36:C36"/>
    <mergeCell ref="B45:C45"/>
    <mergeCell ref="B46:C46"/>
    <mergeCell ref="B47:C47"/>
    <mergeCell ref="B48:C48"/>
  </mergeCells>
  <phoneticPr fontId="46" type="noConversion"/>
  <conditionalFormatting sqref="G46:H49 K5:K13 O5:O13 O15:O17 K15:K17">
    <cfRule type="cellIs" dxfId="26" priority="53" operator="lessThan">
      <formula>0</formula>
    </cfRule>
  </conditionalFormatting>
  <conditionalFormatting sqref="F46:G46 F49:G49 G47:G48">
    <cfRule type="cellIs" dxfId="25" priority="39" operator="lessThan">
      <formula>#REF!</formula>
    </cfRule>
    <cfRule type="cellIs" dxfId="24" priority="40" operator="lessThan">
      <formula>#REF!</formula>
    </cfRule>
  </conditionalFormatting>
  <conditionalFormatting sqref="F5:F13 F15:F17">
    <cfRule type="cellIs" dxfId="23" priority="143" operator="lessThan">
      <formula>#REF!</formula>
    </cfRule>
    <cfRule type="cellIs" dxfId="22" priority="144" operator="lessThan">
      <formula>#REF!</formula>
    </cfRule>
  </conditionalFormatting>
  <conditionalFormatting sqref="F5:F13 F15:F17">
    <cfRule type="cellIs" dxfId="21" priority="316" stopIfTrue="1" operator="lessThan">
      <formula>$F$17</formula>
    </cfRule>
  </conditionalFormatting>
  <conditionalFormatting sqref="O14 K14">
    <cfRule type="cellIs" dxfId="20" priority="24" operator="lessThan">
      <formula>0</formula>
    </cfRule>
  </conditionalFormatting>
  <conditionalFormatting sqref="F14">
    <cfRule type="cellIs" dxfId="19" priority="25" operator="lessThan">
      <formula>#REF!</formula>
    </cfRule>
    <cfRule type="cellIs" dxfId="18" priority="26" operator="lessThan">
      <formula>#REF!</formula>
    </cfRule>
  </conditionalFormatting>
  <conditionalFormatting sqref="F14">
    <cfRule type="cellIs" dxfId="17" priority="27" stopIfTrue="1" operator="lessThan">
      <formula>$F$17</formula>
    </cfRule>
  </conditionalFormatting>
  <conditionalFormatting sqref="H46:H49">
    <cfRule type="cellIs" dxfId="16" priority="17" operator="lessThan">
      <formula>0</formula>
    </cfRule>
  </conditionalFormatting>
  <conditionalFormatting sqref="F47:F48">
    <cfRule type="cellIs" dxfId="15" priority="3" operator="lessThan">
      <formula>#REF!</formula>
    </cfRule>
    <cfRule type="cellIs" dxfId="14" priority="4" operator="lessThan">
      <formula>#REF!</formula>
    </cfRule>
  </conditionalFormatting>
  <pageMargins left="0.39" right="0.23622047244094499" top="0.33" bottom="0.28000000000000003" header="0" footer="0"/>
  <pageSetup scale="58" orientation="landscape" copies="2" r:id="rId1"/>
  <headerFooter>
    <oddFooter>&amp;L&amp;"-,Regular"&amp;8&amp;Z&amp;F&amp;R&amp;8&amp;D|&amp;T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R49"/>
  <sheetViews>
    <sheetView showGridLines="0" zoomScale="85" zoomScaleNormal="85" zoomScalePageLayoutView="80" workbookViewId="0">
      <pane ySplit="6" topLeftCell="A7" activePane="bottomLeft" state="frozen"/>
      <selection pane="bottomLeft" activeCell="A7" sqref="A7"/>
    </sheetView>
  </sheetViews>
  <sheetFormatPr defaultColWidth="9.140625" defaultRowHeight="12.75" x14ac:dyDescent="0.2"/>
  <cols>
    <col min="1" max="1" width="4.85546875" style="287" customWidth="1"/>
    <col min="2" max="2" width="12.28515625" style="38" customWidth="1"/>
    <col min="3" max="3" width="9.42578125" style="31" bestFit="1" customWidth="1"/>
    <col min="4" max="4" width="9.7109375" style="32" customWidth="1"/>
    <col min="5" max="5" width="10.140625" style="32" customWidth="1"/>
    <col min="6" max="6" width="7.85546875" style="34" customWidth="1"/>
    <col min="7" max="7" width="9.85546875" style="32" bestFit="1" customWidth="1"/>
    <col min="8" max="8" width="7.140625" style="33" bestFit="1" customWidth="1"/>
    <col min="9" max="9" width="13.85546875" style="32" customWidth="1"/>
    <col min="10" max="10" width="7.85546875" style="36" customWidth="1"/>
    <col min="11" max="11" width="7.85546875" style="38" customWidth="1"/>
    <col min="12" max="12" width="14.5703125" style="31" bestFit="1" customWidth="1"/>
    <col min="13" max="13" width="18.7109375" style="275" customWidth="1"/>
    <col min="14" max="18" width="9.140625" style="35"/>
    <col min="19" max="16384" width="9.140625" style="31"/>
  </cols>
  <sheetData>
    <row r="1" spans="1:18" ht="18" x14ac:dyDescent="0.25">
      <c r="A1" s="284" t="s">
        <v>136</v>
      </c>
      <c r="B1" s="29"/>
      <c r="K1" s="37"/>
    </row>
    <row r="2" spans="1:18" ht="18" x14ac:dyDescent="0.25">
      <c r="A2" s="336" t="s">
        <v>332</v>
      </c>
      <c r="B2" s="336"/>
      <c r="C2" s="275"/>
      <c r="G2" s="55"/>
      <c r="I2" s="56"/>
      <c r="K2" s="57"/>
    </row>
    <row r="3" spans="1:18" x14ac:dyDescent="0.2">
      <c r="A3" s="285"/>
      <c r="B3" s="30"/>
      <c r="G3" s="35"/>
      <c r="K3" s="37"/>
    </row>
    <row r="4" spans="1:18" x14ac:dyDescent="0.2">
      <c r="A4" s="286" t="s">
        <v>31</v>
      </c>
      <c r="B4" s="39" t="s">
        <v>37</v>
      </c>
      <c r="H4" s="184"/>
    </row>
    <row r="5" spans="1:18" ht="6.75" customHeight="1" x14ac:dyDescent="0.2"/>
    <row r="6" spans="1:18" s="40" customFormat="1" ht="25.5" x14ac:dyDescent="0.2">
      <c r="A6" s="288" t="s">
        <v>25</v>
      </c>
      <c r="B6" s="225" t="s">
        <v>33</v>
      </c>
      <c r="C6" s="225" t="s">
        <v>26</v>
      </c>
      <c r="D6" s="226" t="s">
        <v>38</v>
      </c>
      <c r="E6" s="226" t="s">
        <v>144</v>
      </c>
      <c r="F6" s="227" t="s">
        <v>41</v>
      </c>
      <c r="G6" s="226" t="s">
        <v>1</v>
      </c>
      <c r="H6" s="227" t="s">
        <v>39</v>
      </c>
      <c r="I6" s="226" t="s">
        <v>40</v>
      </c>
      <c r="J6" s="228" t="s">
        <v>41</v>
      </c>
      <c r="K6" s="225" t="s">
        <v>42</v>
      </c>
      <c r="L6" s="229" t="s">
        <v>14</v>
      </c>
      <c r="M6" s="276"/>
      <c r="N6" s="280"/>
      <c r="O6" s="280"/>
      <c r="P6" s="280"/>
      <c r="Q6" s="280"/>
      <c r="R6" s="280"/>
    </row>
    <row r="7" spans="1:18" x14ac:dyDescent="0.2">
      <c r="A7" s="311">
        <v>1</v>
      </c>
      <c r="B7" s="312">
        <v>43891</v>
      </c>
      <c r="C7" s="313" t="s">
        <v>21</v>
      </c>
      <c r="D7" s="314">
        <v>7.0000000000000007E-2</v>
      </c>
      <c r="E7" s="315">
        <f>$D$39*F7</f>
        <v>8274.6930000000011</v>
      </c>
      <c r="F7" s="316">
        <f>D7</f>
        <v>7.0000000000000007E-2</v>
      </c>
      <c r="G7" s="317">
        <f>$D$39*H7</f>
        <v>9227.4647939999995</v>
      </c>
      <c r="H7" s="318">
        <v>7.8060000000000004E-2</v>
      </c>
      <c r="I7" s="319">
        <f>G7</f>
        <v>9227.4647939999995</v>
      </c>
      <c r="J7" s="316">
        <f>H7</f>
        <v>7.8060000000000004E-2</v>
      </c>
      <c r="K7" s="320">
        <f t="shared" ref="K7" si="0">J7-F7</f>
        <v>8.0599999999999977E-3</v>
      </c>
      <c r="L7" s="320" t="str">
        <f t="shared" ref="L7" si="1">IF(K7&gt;0%,"OVER TARGET","UNDER TARGET")</f>
        <v>OVER TARGET</v>
      </c>
    </row>
    <row r="8" spans="1:18" x14ac:dyDescent="0.2">
      <c r="A8" s="323">
        <v>2</v>
      </c>
      <c r="B8" s="324">
        <v>43892</v>
      </c>
      <c r="C8" s="325" t="s">
        <v>22</v>
      </c>
      <c r="D8" s="330">
        <v>0.03</v>
      </c>
      <c r="E8" s="315">
        <f t="shared" ref="E8:E37" si="2">$D$39*F8</f>
        <v>11820.99</v>
      </c>
      <c r="F8" s="316">
        <f>F7+D8</f>
        <v>0.1</v>
      </c>
      <c r="G8" s="317">
        <f t="shared" ref="G8:G37" si="3">$D$39*H8</f>
        <v>3139.6549439999999</v>
      </c>
      <c r="H8" s="318">
        <v>2.656E-2</v>
      </c>
      <c r="I8" s="319">
        <f>I7+G8</f>
        <v>12367.119737999999</v>
      </c>
      <c r="J8" s="316">
        <f>J7+H8</f>
        <v>0.10462</v>
      </c>
      <c r="K8" s="320">
        <f t="shared" ref="K8" si="4">J8-F8</f>
        <v>4.6199999999999991E-3</v>
      </c>
      <c r="L8" s="320" t="str">
        <f t="shared" ref="L8" si="5">IF(K8&gt;0%,"OVER TARGET","UNDER TARGET")</f>
        <v>OVER TARGET</v>
      </c>
    </row>
    <row r="9" spans="1:18" x14ac:dyDescent="0.2">
      <c r="A9" s="293">
        <v>3</v>
      </c>
      <c r="B9" s="177">
        <v>43893</v>
      </c>
      <c r="C9" s="297" t="s">
        <v>23</v>
      </c>
      <c r="D9" s="261">
        <v>0.03</v>
      </c>
      <c r="E9" s="315">
        <f t="shared" si="2"/>
        <v>15367.287</v>
      </c>
      <c r="F9" s="316">
        <f t="shared" ref="F9:F37" si="6">F8+D9</f>
        <v>0.13</v>
      </c>
      <c r="G9" s="317">
        <f t="shared" si="3"/>
        <v>2844.1301939999998</v>
      </c>
      <c r="H9" s="321">
        <v>2.4060000000000002E-2</v>
      </c>
      <c r="I9" s="319">
        <f t="shared" ref="I9" si="7">I8+G9</f>
        <v>15211.249931999999</v>
      </c>
      <c r="J9" s="316">
        <f t="shared" ref="J9" si="8">J8+H9</f>
        <v>0.12868000000000002</v>
      </c>
      <c r="K9" s="320">
        <f t="shared" ref="K9" si="9">J9-F9</f>
        <v>-1.3199999999999878E-3</v>
      </c>
      <c r="L9" s="320" t="str">
        <f t="shared" ref="L9" si="10">IF(K9&gt;0%,"OVER TARGET","UNDER TARGET")</f>
        <v>UNDER TARGET</v>
      </c>
    </row>
    <row r="10" spans="1:18" x14ac:dyDescent="0.2">
      <c r="A10" s="293">
        <v>4</v>
      </c>
      <c r="B10" s="177">
        <v>43894</v>
      </c>
      <c r="C10" s="297" t="s">
        <v>24</v>
      </c>
      <c r="D10" s="261">
        <v>0.03</v>
      </c>
      <c r="E10" s="315">
        <f t="shared" si="2"/>
        <v>18913.583999999999</v>
      </c>
      <c r="F10" s="316">
        <f t="shared" si="6"/>
        <v>0.16</v>
      </c>
      <c r="G10" s="317">
        <f t="shared" si="3"/>
        <v>2675.0900369999995</v>
      </c>
      <c r="H10" s="321">
        <v>2.2629999999999997E-2</v>
      </c>
      <c r="I10" s="319">
        <f t="shared" ref="I10:I12" si="11">I9+G10</f>
        <v>17886.339968999997</v>
      </c>
      <c r="J10" s="316">
        <f t="shared" ref="J10:J12" si="12">J9+H10</f>
        <v>0.15131</v>
      </c>
      <c r="K10" s="320">
        <f t="shared" ref="K10:K12" si="13">J10-F10</f>
        <v>-8.6900000000000033E-3</v>
      </c>
      <c r="L10" s="320" t="str">
        <f t="shared" ref="L10:L12" si="14">IF(K10&gt;0%,"OVER TARGET","UNDER TARGET")</f>
        <v>UNDER TARGET</v>
      </c>
    </row>
    <row r="11" spans="1:18" x14ac:dyDescent="0.2">
      <c r="A11" s="293">
        <v>5</v>
      </c>
      <c r="B11" s="177">
        <v>43895</v>
      </c>
      <c r="C11" s="297" t="s">
        <v>19</v>
      </c>
      <c r="D11" s="261">
        <v>0.03</v>
      </c>
      <c r="E11" s="315">
        <f t="shared" si="2"/>
        <v>22459.880999999998</v>
      </c>
      <c r="F11" s="316">
        <f t="shared" si="6"/>
        <v>0.19</v>
      </c>
      <c r="G11" s="317">
        <f t="shared" si="3"/>
        <v>3001.349361</v>
      </c>
      <c r="H11" s="321">
        <v>2.5390000000000003E-2</v>
      </c>
      <c r="I11" s="319">
        <f t="shared" si="11"/>
        <v>20887.689329999997</v>
      </c>
      <c r="J11" s="316">
        <f t="shared" si="12"/>
        <v>0.1767</v>
      </c>
      <c r="K11" s="320">
        <f t="shared" si="13"/>
        <v>-1.3300000000000006E-2</v>
      </c>
      <c r="L11" s="320" t="str">
        <f t="shared" si="14"/>
        <v>UNDER TARGET</v>
      </c>
    </row>
    <row r="12" spans="1:18" x14ac:dyDescent="0.2">
      <c r="A12" s="293">
        <v>6</v>
      </c>
      <c r="B12" s="177">
        <v>43896</v>
      </c>
      <c r="C12" s="297" t="s">
        <v>18</v>
      </c>
      <c r="D12" s="261">
        <v>3.5000000000000003E-2</v>
      </c>
      <c r="E12" s="315">
        <f t="shared" si="2"/>
        <v>26597.227500000001</v>
      </c>
      <c r="F12" s="316">
        <f t="shared" si="6"/>
        <v>0.22500000000000001</v>
      </c>
      <c r="G12" s="317">
        <f t="shared" si="3"/>
        <v>3948.2106599999997</v>
      </c>
      <c r="H12" s="321">
        <v>3.3399999999999999E-2</v>
      </c>
      <c r="I12" s="319">
        <f t="shared" si="11"/>
        <v>24835.899989999998</v>
      </c>
      <c r="J12" s="316">
        <f t="shared" si="12"/>
        <v>0.21010000000000001</v>
      </c>
      <c r="K12" s="320">
        <f t="shared" si="13"/>
        <v>-1.4899999999999997E-2</v>
      </c>
      <c r="L12" s="320" t="str">
        <f t="shared" si="14"/>
        <v>UNDER TARGET</v>
      </c>
    </row>
    <row r="13" spans="1:18" x14ac:dyDescent="0.2">
      <c r="A13" s="326">
        <v>7</v>
      </c>
      <c r="B13" s="327">
        <v>43897</v>
      </c>
      <c r="C13" s="328" t="s">
        <v>20</v>
      </c>
      <c r="D13" s="329">
        <v>0.05</v>
      </c>
      <c r="E13" s="315">
        <f t="shared" si="2"/>
        <v>32507.7225</v>
      </c>
      <c r="F13" s="316">
        <f t="shared" si="6"/>
        <v>0.27500000000000002</v>
      </c>
      <c r="G13" s="317">
        <f t="shared" si="3"/>
        <v>6104.3592359999993</v>
      </c>
      <c r="H13" s="321">
        <v>5.1639999999999998E-2</v>
      </c>
      <c r="I13" s="319">
        <f t="shared" ref="I13:I16" si="15">I12+G13</f>
        <v>30940.259225999998</v>
      </c>
      <c r="J13" s="316">
        <f t="shared" ref="J13:J16" si="16">J12+H13</f>
        <v>0.26174000000000003</v>
      </c>
      <c r="K13" s="320">
        <f t="shared" ref="K13:K16" si="17">J13-F13</f>
        <v>-1.3259999999999994E-2</v>
      </c>
      <c r="L13" s="320" t="str">
        <f t="shared" ref="L13:L16" si="18">IF(K13&gt;0%,"OVER TARGET","UNDER TARGET")</f>
        <v>UNDER TARGET</v>
      </c>
    </row>
    <row r="14" spans="1:18" x14ac:dyDescent="0.2">
      <c r="A14" s="311">
        <v>8</v>
      </c>
      <c r="B14" s="312">
        <v>43898</v>
      </c>
      <c r="C14" s="313" t="s">
        <v>21</v>
      </c>
      <c r="D14" s="314">
        <v>0.06</v>
      </c>
      <c r="E14" s="315">
        <f t="shared" si="2"/>
        <v>39600.316500000001</v>
      </c>
      <c r="F14" s="316">
        <f t="shared" si="6"/>
        <v>0.33500000000000002</v>
      </c>
      <c r="G14" s="317">
        <f t="shared" si="3"/>
        <v>7502.7823529999996</v>
      </c>
      <c r="H14" s="318">
        <v>6.3469999999999999E-2</v>
      </c>
      <c r="I14" s="319">
        <f t="shared" si="15"/>
        <v>38443.041578999997</v>
      </c>
      <c r="J14" s="316">
        <f t="shared" si="16"/>
        <v>0.32521</v>
      </c>
      <c r="K14" s="320">
        <f t="shared" si="17"/>
        <v>-9.7900000000000209E-3</v>
      </c>
      <c r="L14" s="320" t="str">
        <f t="shared" si="18"/>
        <v>UNDER TARGET</v>
      </c>
    </row>
    <row r="15" spans="1:18" x14ac:dyDescent="0.2">
      <c r="A15" s="323">
        <v>9</v>
      </c>
      <c r="B15" s="324">
        <v>43899</v>
      </c>
      <c r="C15" s="325" t="s">
        <v>22</v>
      </c>
      <c r="D15" s="330">
        <v>0.02</v>
      </c>
      <c r="E15" s="315">
        <f t="shared" si="2"/>
        <v>41964.514500000005</v>
      </c>
      <c r="F15" s="316">
        <f t="shared" si="6"/>
        <v>0.35500000000000004</v>
      </c>
      <c r="G15" s="317">
        <f t="shared" si="3"/>
        <v>2919.7845300000004</v>
      </c>
      <c r="H15" s="318">
        <v>2.4700000000000003E-2</v>
      </c>
      <c r="I15" s="319">
        <f t="shared" si="15"/>
        <v>41362.826108999994</v>
      </c>
      <c r="J15" s="316">
        <f t="shared" si="16"/>
        <v>0.34991</v>
      </c>
      <c r="K15" s="320">
        <f t="shared" si="17"/>
        <v>-5.0900000000000389E-3</v>
      </c>
      <c r="L15" s="320" t="str">
        <f t="shared" si="18"/>
        <v>UNDER TARGET</v>
      </c>
    </row>
    <row r="16" spans="1:18" x14ac:dyDescent="0.2">
      <c r="A16" s="293">
        <v>10</v>
      </c>
      <c r="B16" s="177">
        <v>43900</v>
      </c>
      <c r="C16" s="297" t="s">
        <v>23</v>
      </c>
      <c r="D16" s="261">
        <v>0.02</v>
      </c>
      <c r="E16" s="315">
        <f t="shared" si="2"/>
        <v>44328.712500000001</v>
      </c>
      <c r="F16" s="316">
        <f t="shared" si="6"/>
        <v>0.37500000000000006</v>
      </c>
      <c r="G16" s="317">
        <f t="shared" si="3"/>
        <v>3162.1148249999997</v>
      </c>
      <c r="H16" s="321">
        <v>2.6749999999999999E-2</v>
      </c>
      <c r="I16" s="319">
        <f t="shared" si="15"/>
        <v>44524.940933999991</v>
      </c>
      <c r="J16" s="316">
        <f t="shared" si="16"/>
        <v>0.37665999999999999</v>
      </c>
      <c r="K16" s="320">
        <f t="shared" si="17"/>
        <v>1.6599999999999393E-3</v>
      </c>
      <c r="L16" s="320" t="str">
        <f t="shared" si="18"/>
        <v>OVER TARGET</v>
      </c>
    </row>
    <row r="17" spans="1:12" x14ac:dyDescent="0.2">
      <c r="A17" s="293">
        <v>11</v>
      </c>
      <c r="B17" s="177">
        <v>43901</v>
      </c>
      <c r="C17" s="297" t="s">
        <v>24</v>
      </c>
      <c r="D17" s="261">
        <v>0.02</v>
      </c>
      <c r="E17" s="315">
        <f t="shared" si="2"/>
        <v>46692.910500000005</v>
      </c>
      <c r="F17" s="316">
        <f t="shared" si="6"/>
        <v>0.39500000000000007</v>
      </c>
      <c r="G17" s="317">
        <f t="shared" si="3"/>
        <v>2974.1610839999998</v>
      </c>
      <c r="H17" s="321">
        <v>2.5160000000000002E-2</v>
      </c>
      <c r="I17" s="319">
        <f t="shared" ref="I17:I18" si="19">I16+G17</f>
        <v>47499.10201799999</v>
      </c>
      <c r="J17" s="316">
        <f t="shared" ref="J17:J18" si="20">J16+H17</f>
        <v>0.40182000000000001</v>
      </c>
      <c r="K17" s="320">
        <f t="shared" ref="K17:K18" si="21">J17-F17</f>
        <v>6.8199999999999372E-3</v>
      </c>
      <c r="L17" s="320" t="str">
        <f t="shared" ref="L17:L18" si="22">IF(K17&gt;0%,"OVER TARGET","UNDER TARGET")</f>
        <v>OVER TARGET</v>
      </c>
    </row>
    <row r="18" spans="1:12" x14ac:dyDescent="0.2">
      <c r="A18" s="293">
        <v>12</v>
      </c>
      <c r="B18" s="177">
        <v>43902</v>
      </c>
      <c r="C18" s="297" t="s">
        <v>19</v>
      </c>
      <c r="D18" s="261">
        <v>0.02</v>
      </c>
      <c r="E18" s="315">
        <f t="shared" si="2"/>
        <v>49057.108500000009</v>
      </c>
      <c r="F18" s="316">
        <f t="shared" si="6"/>
        <v>0.41500000000000009</v>
      </c>
      <c r="G18" s="317">
        <f t="shared" si="3"/>
        <v>2822.8524119999997</v>
      </c>
      <c r="H18" s="321">
        <v>2.3879999999999998E-2</v>
      </c>
      <c r="I18" s="319">
        <f t="shared" si="19"/>
        <v>50321.954429999991</v>
      </c>
      <c r="J18" s="316">
        <f t="shared" si="20"/>
        <v>0.42570000000000002</v>
      </c>
      <c r="K18" s="320">
        <f t="shared" si="21"/>
        <v>1.0699999999999932E-2</v>
      </c>
      <c r="L18" s="320" t="str">
        <f t="shared" si="22"/>
        <v>OVER TARGET</v>
      </c>
    </row>
    <row r="19" spans="1:12" x14ac:dyDescent="0.2">
      <c r="A19" s="293">
        <v>13</v>
      </c>
      <c r="B19" s="177">
        <v>43903</v>
      </c>
      <c r="C19" s="297" t="s">
        <v>18</v>
      </c>
      <c r="D19" s="261">
        <v>2.5000000000000001E-2</v>
      </c>
      <c r="E19" s="315">
        <f t="shared" si="2"/>
        <v>52012.356000000014</v>
      </c>
      <c r="F19" s="316">
        <f t="shared" si="6"/>
        <v>0.44000000000000011</v>
      </c>
      <c r="G19" s="317">
        <f t="shared" si="3"/>
        <v>2363.0159009999998</v>
      </c>
      <c r="H19" s="321">
        <v>1.9990000000000001E-2</v>
      </c>
      <c r="I19" s="319">
        <f t="shared" ref="I19:I23" si="23">I18+G19</f>
        <v>52684.97033099999</v>
      </c>
      <c r="J19" s="316">
        <f t="shared" ref="J19:J23" si="24">J18+H19</f>
        <v>0.44569000000000003</v>
      </c>
      <c r="K19" s="320">
        <f t="shared" ref="K19:K23" si="25">J19-F19</f>
        <v>5.6899999999999173E-3</v>
      </c>
      <c r="L19" s="320" t="str">
        <f t="shared" ref="L19:L23" si="26">IF(K19&gt;0%,"OVER TARGET","UNDER TARGET")</f>
        <v>OVER TARGET</v>
      </c>
    </row>
    <row r="20" spans="1:12" x14ac:dyDescent="0.2">
      <c r="A20" s="326">
        <v>14</v>
      </c>
      <c r="B20" s="327">
        <v>43904</v>
      </c>
      <c r="C20" s="328" t="s">
        <v>20</v>
      </c>
      <c r="D20" s="329">
        <v>4.4999999999999998E-2</v>
      </c>
      <c r="E20" s="315">
        <f t="shared" si="2"/>
        <v>57331.801500000009</v>
      </c>
      <c r="F20" s="316">
        <f t="shared" si="6"/>
        <v>0.4850000000000001</v>
      </c>
      <c r="G20" s="317">
        <f t="shared" si="3"/>
        <v>4666.9268519999996</v>
      </c>
      <c r="H20" s="321">
        <v>3.9480000000000001E-2</v>
      </c>
      <c r="I20" s="319">
        <f t="shared" si="23"/>
        <v>57351.897182999986</v>
      </c>
      <c r="J20" s="316">
        <f t="shared" si="24"/>
        <v>0.48517000000000005</v>
      </c>
      <c r="K20" s="320">
        <f t="shared" si="25"/>
        <v>1.6999999999994797E-4</v>
      </c>
      <c r="L20" s="320" t="str">
        <f t="shared" si="26"/>
        <v>OVER TARGET</v>
      </c>
    </row>
    <row r="21" spans="1:12" x14ac:dyDescent="0.2">
      <c r="A21" s="311">
        <v>15</v>
      </c>
      <c r="B21" s="312">
        <v>43905</v>
      </c>
      <c r="C21" s="313" t="s">
        <v>21</v>
      </c>
      <c r="D21" s="314">
        <v>5.5E-2</v>
      </c>
      <c r="E21" s="315">
        <f t="shared" si="2"/>
        <v>63833.346000000012</v>
      </c>
      <c r="F21" s="316">
        <f t="shared" si="6"/>
        <v>0.54000000000000015</v>
      </c>
      <c r="G21" s="317">
        <f t="shared" si="3"/>
        <v>6123.2728199999992</v>
      </c>
      <c r="H21" s="318">
        <v>5.1799999999999999E-2</v>
      </c>
      <c r="I21" s="319">
        <f t="shared" si="23"/>
        <v>63475.170002999985</v>
      </c>
      <c r="J21" s="316">
        <f t="shared" si="24"/>
        <v>0.53697000000000006</v>
      </c>
      <c r="K21" s="320">
        <f t="shared" si="25"/>
        <v>-3.0300000000000882E-3</v>
      </c>
      <c r="L21" s="320" t="str">
        <f t="shared" si="26"/>
        <v>UNDER TARGET</v>
      </c>
    </row>
    <row r="22" spans="1:12" x14ac:dyDescent="0.2">
      <c r="A22" s="323">
        <v>16</v>
      </c>
      <c r="B22" s="324">
        <v>43906</v>
      </c>
      <c r="C22" s="325" t="s">
        <v>22</v>
      </c>
      <c r="D22" s="330">
        <v>0.02</v>
      </c>
      <c r="E22" s="315">
        <f t="shared" si="2"/>
        <v>66197.544000000009</v>
      </c>
      <c r="F22" s="316">
        <f t="shared" si="6"/>
        <v>0.56000000000000016</v>
      </c>
      <c r="G22" s="317">
        <f t="shared" si="3"/>
        <v>2214.0714269999999</v>
      </c>
      <c r="H22" s="318">
        <v>1.873E-2</v>
      </c>
      <c r="I22" s="319">
        <f t="shared" si="23"/>
        <v>65689.24142999998</v>
      </c>
      <c r="J22" s="316">
        <f t="shared" si="24"/>
        <v>0.55570000000000008</v>
      </c>
      <c r="K22" s="320">
        <f t="shared" si="25"/>
        <v>-4.3000000000000815E-3</v>
      </c>
      <c r="L22" s="320" t="str">
        <f t="shared" si="26"/>
        <v>UNDER TARGET</v>
      </c>
    </row>
    <row r="23" spans="1:12" x14ac:dyDescent="0.2">
      <c r="A23" s="293">
        <v>17</v>
      </c>
      <c r="B23" s="177">
        <v>43907</v>
      </c>
      <c r="C23" s="297" t="s">
        <v>23</v>
      </c>
      <c r="D23" s="261">
        <v>0.02</v>
      </c>
      <c r="E23" s="315">
        <f t="shared" si="2"/>
        <v>68561.742000000013</v>
      </c>
      <c r="F23" s="316">
        <f t="shared" si="6"/>
        <v>0.58000000000000018</v>
      </c>
      <c r="G23" s="317">
        <f t="shared" si="3"/>
        <v>2085.222636</v>
      </c>
      <c r="H23" s="321">
        <v>1.7639999999999999E-2</v>
      </c>
      <c r="I23" s="319">
        <f t="shared" si="23"/>
        <v>67774.464065999986</v>
      </c>
      <c r="J23" s="316">
        <f t="shared" si="24"/>
        <v>0.57334000000000007</v>
      </c>
      <c r="K23" s="320">
        <f t="shared" si="25"/>
        <v>-6.6600000000001103E-3</v>
      </c>
      <c r="L23" s="320" t="str">
        <f t="shared" si="26"/>
        <v>UNDER TARGET</v>
      </c>
    </row>
    <row r="24" spans="1:12" x14ac:dyDescent="0.2">
      <c r="A24" s="293">
        <v>18</v>
      </c>
      <c r="B24" s="177">
        <v>43908</v>
      </c>
      <c r="C24" s="297" t="s">
        <v>24</v>
      </c>
      <c r="D24" s="261">
        <v>0.02</v>
      </c>
      <c r="E24" s="315">
        <f t="shared" si="2"/>
        <v>70925.940000000017</v>
      </c>
      <c r="F24" s="316">
        <f t="shared" si="6"/>
        <v>0.6000000000000002</v>
      </c>
      <c r="G24" s="317">
        <f t="shared" si="3"/>
        <v>1884.2658059999999</v>
      </c>
      <c r="H24" s="321">
        <v>1.5939999999999999E-2</v>
      </c>
      <c r="I24" s="319">
        <f t="shared" ref="I24:I26" si="27">I23+G24</f>
        <v>69658.729871999982</v>
      </c>
      <c r="J24" s="316">
        <f t="shared" ref="J24:J26" si="28">J23+H24</f>
        <v>0.58928000000000003</v>
      </c>
      <c r="K24" s="320">
        <f t="shared" ref="K24:K26" si="29">J24-F24</f>
        <v>-1.0720000000000174E-2</v>
      </c>
      <c r="L24" s="320" t="str">
        <f t="shared" ref="L24:L26" si="30">IF(K24&gt;0%,"OVER TARGET","UNDER TARGET")</f>
        <v>UNDER TARGET</v>
      </c>
    </row>
    <row r="25" spans="1:12" x14ac:dyDescent="0.2">
      <c r="A25" s="293">
        <v>19</v>
      </c>
      <c r="B25" s="177">
        <v>43909</v>
      </c>
      <c r="C25" s="297" t="s">
        <v>19</v>
      </c>
      <c r="D25" s="261">
        <v>0.02</v>
      </c>
      <c r="E25" s="315">
        <f t="shared" si="2"/>
        <v>73290.138000000021</v>
      </c>
      <c r="F25" s="316">
        <f t="shared" si="6"/>
        <v>0.62000000000000022</v>
      </c>
      <c r="G25" s="317">
        <f t="shared" si="3"/>
        <v>1917.3645780000002</v>
      </c>
      <c r="H25" s="321">
        <v>1.6220000000000002E-2</v>
      </c>
      <c r="I25" s="319">
        <f t="shared" si="27"/>
        <v>71576.094449999975</v>
      </c>
      <c r="J25" s="316">
        <f t="shared" si="28"/>
        <v>0.60550000000000004</v>
      </c>
      <c r="K25" s="320">
        <f t="shared" si="29"/>
        <v>-1.4500000000000179E-2</v>
      </c>
      <c r="L25" s="320" t="str">
        <f t="shared" si="30"/>
        <v>UNDER TARGET</v>
      </c>
    </row>
    <row r="26" spans="1:12" x14ac:dyDescent="0.2">
      <c r="A26" s="293">
        <v>20</v>
      </c>
      <c r="B26" s="177">
        <v>43910</v>
      </c>
      <c r="C26" s="297" t="s">
        <v>18</v>
      </c>
      <c r="D26" s="261">
        <v>2.5000000000000001E-2</v>
      </c>
      <c r="E26" s="315">
        <f t="shared" si="2"/>
        <v>76245.385500000019</v>
      </c>
      <c r="F26" s="316">
        <f t="shared" si="6"/>
        <v>0.64500000000000024</v>
      </c>
      <c r="G26" s="317">
        <f t="shared" si="3"/>
        <v>2013.114597</v>
      </c>
      <c r="H26" s="321">
        <v>1.703E-2</v>
      </c>
      <c r="I26" s="319">
        <f t="shared" si="27"/>
        <v>73589.209046999982</v>
      </c>
      <c r="J26" s="316">
        <f t="shared" si="28"/>
        <v>0.62253000000000003</v>
      </c>
      <c r="K26" s="320">
        <f t="shared" si="29"/>
        <v>-2.2470000000000212E-2</v>
      </c>
      <c r="L26" s="320" t="str">
        <f t="shared" si="30"/>
        <v>UNDER TARGET</v>
      </c>
    </row>
    <row r="27" spans="1:12" x14ac:dyDescent="0.2">
      <c r="A27" s="326">
        <v>21</v>
      </c>
      <c r="B27" s="327">
        <v>43911</v>
      </c>
      <c r="C27" s="328" t="s">
        <v>20</v>
      </c>
      <c r="D27" s="329">
        <v>4.4999999999999998E-2</v>
      </c>
      <c r="E27" s="315">
        <f t="shared" si="2"/>
        <v>81564.831000000035</v>
      </c>
      <c r="F27" s="316">
        <f t="shared" si="6"/>
        <v>0.69000000000000028</v>
      </c>
      <c r="G27" s="317">
        <f t="shared" si="3"/>
        <v>3361.8895559999996</v>
      </c>
      <c r="H27" s="321">
        <v>2.844E-2</v>
      </c>
      <c r="I27" s="319">
        <f t="shared" ref="I27" si="31">I26+G27</f>
        <v>76951.098602999977</v>
      </c>
      <c r="J27" s="316">
        <f t="shared" ref="J27" si="32">J26+H27</f>
        <v>0.65097000000000005</v>
      </c>
      <c r="K27" s="320">
        <f t="shared" ref="K27" si="33">J27-F27</f>
        <v>-3.9030000000000231E-2</v>
      </c>
      <c r="L27" s="320" t="str">
        <f t="shared" ref="L27" si="34">IF(K27&gt;0%,"OVER TARGET","UNDER TARGET")</f>
        <v>UNDER TARGET</v>
      </c>
    </row>
    <row r="28" spans="1:12" x14ac:dyDescent="0.2">
      <c r="A28" s="311">
        <v>22</v>
      </c>
      <c r="B28" s="312">
        <v>43912</v>
      </c>
      <c r="C28" s="313" t="s">
        <v>21</v>
      </c>
      <c r="D28" s="314">
        <v>5.5E-2</v>
      </c>
      <c r="E28" s="315">
        <f t="shared" si="2"/>
        <v>88066.375500000038</v>
      </c>
      <c r="F28" s="316">
        <f t="shared" si="6"/>
        <v>0.74500000000000033</v>
      </c>
      <c r="G28" s="317">
        <f t="shared" si="3"/>
        <v>3452.9111789999997</v>
      </c>
      <c r="H28" s="318">
        <v>2.921E-2</v>
      </c>
      <c r="I28" s="319">
        <f t="shared" ref="I28:I34" si="35">I27+G28</f>
        <v>80404.009781999979</v>
      </c>
      <c r="J28" s="316">
        <f t="shared" ref="J28:J34" si="36">J27+H28</f>
        <v>0.68018000000000001</v>
      </c>
      <c r="K28" s="320">
        <f t="shared" ref="K28:K35" si="37">J28-F28</f>
        <v>-6.4820000000000322E-2</v>
      </c>
      <c r="L28" s="320" t="str">
        <f t="shared" ref="L28:L35" si="38">IF(K28&gt;0%,"OVER TARGET","UNDER TARGET")</f>
        <v>UNDER TARGET</v>
      </c>
    </row>
    <row r="29" spans="1:12" x14ac:dyDescent="0.2">
      <c r="A29" s="323">
        <v>23</v>
      </c>
      <c r="B29" s="324">
        <v>43913</v>
      </c>
      <c r="C29" s="325" t="s">
        <v>22</v>
      </c>
      <c r="D29" s="330">
        <v>0.02</v>
      </c>
      <c r="E29" s="315">
        <f t="shared" si="2"/>
        <v>90430.573500000042</v>
      </c>
      <c r="F29" s="316">
        <f t="shared" si="6"/>
        <v>0.76500000000000035</v>
      </c>
      <c r="G29" s="317">
        <f t="shared" si="3"/>
        <v>1618.293531</v>
      </c>
      <c r="H29" s="318">
        <v>1.3690000000000001E-2</v>
      </c>
      <c r="I29" s="319">
        <f t="shared" si="35"/>
        <v>82022.303312999982</v>
      </c>
      <c r="J29" s="316">
        <f t="shared" si="36"/>
        <v>0.69386999999999999</v>
      </c>
      <c r="K29" s="320">
        <f t="shared" si="37"/>
        <v>-7.113000000000036E-2</v>
      </c>
      <c r="L29" s="320" t="str">
        <f t="shared" si="38"/>
        <v>UNDER TARGET</v>
      </c>
    </row>
    <row r="30" spans="1:12" x14ac:dyDescent="0.2">
      <c r="A30" s="293">
        <v>24</v>
      </c>
      <c r="B30" s="177">
        <v>43914</v>
      </c>
      <c r="C30" s="297" t="s">
        <v>23</v>
      </c>
      <c r="D30" s="261">
        <v>0.02</v>
      </c>
      <c r="E30" s="315">
        <f t="shared" si="2"/>
        <v>92794.771500000032</v>
      </c>
      <c r="F30" s="316">
        <f t="shared" si="6"/>
        <v>0.78500000000000036</v>
      </c>
      <c r="G30" s="317">
        <f t="shared" si="3"/>
        <v>1667.941689</v>
      </c>
      <c r="H30" s="321">
        <v>1.4110000000000001E-2</v>
      </c>
      <c r="I30" s="319">
        <f t="shared" si="35"/>
        <v>83690.245001999981</v>
      </c>
      <c r="J30" s="316">
        <f t="shared" si="36"/>
        <v>0.70797999999999994</v>
      </c>
      <c r="K30" s="320">
        <f t="shared" si="37"/>
        <v>-7.7020000000000421E-2</v>
      </c>
      <c r="L30" s="320" t="str">
        <f t="shared" si="38"/>
        <v>UNDER TARGET</v>
      </c>
    </row>
    <row r="31" spans="1:12" x14ac:dyDescent="0.2">
      <c r="A31" s="293">
        <v>25</v>
      </c>
      <c r="B31" s="177">
        <v>43915</v>
      </c>
      <c r="C31" s="297" t="s">
        <v>24</v>
      </c>
      <c r="D31" s="261">
        <v>0.02</v>
      </c>
      <c r="E31" s="315">
        <f t="shared" si="2"/>
        <v>95158.969500000036</v>
      </c>
      <c r="F31" s="316">
        <f t="shared" si="6"/>
        <v>0.80500000000000038</v>
      </c>
      <c r="G31" s="317">
        <f t="shared" si="3"/>
        <v>1866.5343209999996</v>
      </c>
      <c r="H31" s="321">
        <v>1.5789999999999998E-2</v>
      </c>
      <c r="I31" s="319">
        <f t="shared" si="35"/>
        <v>85556.779322999981</v>
      </c>
      <c r="J31" s="316">
        <f t="shared" si="36"/>
        <v>0.72376999999999991</v>
      </c>
      <c r="K31" s="320">
        <f t="shared" si="37"/>
        <v>-8.1230000000000468E-2</v>
      </c>
      <c r="L31" s="320" t="str">
        <f t="shared" si="38"/>
        <v>UNDER TARGET</v>
      </c>
    </row>
    <row r="32" spans="1:12" x14ac:dyDescent="0.2">
      <c r="A32" s="293">
        <v>26</v>
      </c>
      <c r="B32" s="177">
        <v>43916</v>
      </c>
      <c r="C32" s="297" t="s">
        <v>19</v>
      </c>
      <c r="D32" s="261">
        <v>0.02</v>
      </c>
      <c r="E32" s="315">
        <f t="shared" si="2"/>
        <v>97523.16750000004</v>
      </c>
      <c r="F32" s="316">
        <f t="shared" si="6"/>
        <v>0.8250000000000004</v>
      </c>
      <c r="G32" s="317">
        <f t="shared" si="3"/>
        <v>1841.7102419999999</v>
      </c>
      <c r="H32" s="321">
        <v>1.558E-2</v>
      </c>
      <c r="I32" s="319">
        <f t="shared" si="35"/>
        <v>87398.489564999982</v>
      </c>
      <c r="J32" s="316">
        <f t="shared" si="36"/>
        <v>0.73934999999999995</v>
      </c>
      <c r="K32" s="320">
        <f t="shared" si="37"/>
        <v>-8.5650000000000448E-2</v>
      </c>
      <c r="L32" s="320" t="str">
        <f t="shared" si="38"/>
        <v>UNDER TARGET</v>
      </c>
    </row>
    <row r="33" spans="1:18" x14ac:dyDescent="0.2">
      <c r="A33" s="293">
        <v>27</v>
      </c>
      <c r="B33" s="177">
        <v>43917</v>
      </c>
      <c r="C33" s="297" t="s">
        <v>18</v>
      </c>
      <c r="D33" s="261">
        <v>0.03</v>
      </c>
      <c r="E33" s="315">
        <f t="shared" si="2"/>
        <v>101069.46450000005</v>
      </c>
      <c r="F33" s="316">
        <f t="shared" si="6"/>
        <v>0.85500000000000043</v>
      </c>
      <c r="G33" s="317">
        <f t="shared" si="3"/>
        <v>2022.571389</v>
      </c>
      <c r="H33" s="321">
        <v>1.711E-2</v>
      </c>
      <c r="I33" s="319">
        <f t="shared" si="35"/>
        <v>89421.060953999986</v>
      </c>
      <c r="J33" s="316">
        <f t="shared" si="36"/>
        <v>0.75645999999999991</v>
      </c>
      <c r="K33" s="320">
        <f t="shared" si="37"/>
        <v>-9.8540000000000516E-2</v>
      </c>
      <c r="L33" s="320" t="str">
        <f t="shared" si="38"/>
        <v>UNDER TARGET</v>
      </c>
    </row>
    <row r="34" spans="1:18" x14ac:dyDescent="0.2">
      <c r="A34" s="326">
        <v>28</v>
      </c>
      <c r="B34" s="327">
        <v>43918</v>
      </c>
      <c r="C34" s="328" t="s">
        <v>20</v>
      </c>
      <c r="D34" s="329">
        <v>0.04</v>
      </c>
      <c r="E34" s="315">
        <f t="shared" si="2"/>
        <v>105797.86050000005</v>
      </c>
      <c r="F34" s="316">
        <f t="shared" si="6"/>
        <v>0.89500000000000046</v>
      </c>
      <c r="G34" s="317">
        <f t="shared" si="3"/>
        <v>3036.8123310000001</v>
      </c>
      <c r="H34" s="321">
        <v>2.5690000000000001E-2</v>
      </c>
      <c r="I34" s="319">
        <f t="shared" ref="I34:I37" si="39">I33+G34</f>
        <v>92457.87328499998</v>
      </c>
      <c r="J34" s="316">
        <f t="shared" ref="J34:J37" si="40">J33+H34</f>
        <v>0.7821499999999999</v>
      </c>
      <c r="K34" s="320">
        <f t="shared" ref="K34:K37" si="41">J34-F34</f>
        <v>-0.11285000000000056</v>
      </c>
      <c r="L34" s="320" t="str">
        <f t="shared" ref="L34:L37" si="42">IF(K34&gt;0%,"OVER TARGET","UNDER TARGET")</f>
        <v>UNDER TARGET</v>
      </c>
    </row>
    <row r="35" spans="1:18" x14ac:dyDescent="0.2">
      <c r="A35" s="311">
        <v>28</v>
      </c>
      <c r="B35" s="312">
        <v>43919</v>
      </c>
      <c r="C35" s="313" t="s">
        <v>21</v>
      </c>
      <c r="D35" s="314">
        <v>0.05</v>
      </c>
      <c r="E35" s="315">
        <f t="shared" si="2"/>
        <v>111708.35550000005</v>
      </c>
      <c r="F35" s="316">
        <f t="shared" si="6"/>
        <v>0.94500000000000051</v>
      </c>
      <c r="G35" s="317">
        <f t="shared" si="3"/>
        <v>2951.7012029999996</v>
      </c>
      <c r="H35" s="318">
        <v>2.4969999999999999E-2</v>
      </c>
      <c r="I35" s="319">
        <f t="shared" si="39"/>
        <v>95409.574487999984</v>
      </c>
      <c r="J35" s="316">
        <f t="shared" si="40"/>
        <v>0.80711999999999995</v>
      </c>
      <c r="K35" s="320">
        <f t="shared" si="41"/>
        <v>-0.13788000000000056</v>
      </c>
      <c r="L35" s="320" t="str">
        <f t="shared" si="42"/>
        <v>UNDER TARGET</v>
      </c>
    </row>
    <row r="36" spans="1:18" x14ac:dyDescent="0.2">
      <c r="A36" s="323">
        <v>28</v>
      </c>
      <c r="B36" s="324">
        <v>43920</v>
      </c>
      <c r="C36" s="325" t="s">
        <v>22</v>
      </c>
      <c r="D36" s="314">
        <v>2.5000000000000001E-2</v>
      </c>
      <c r="E36" s="315">
        <f t="shared" si="2"/>
        <v>114663.60300000006</v>
      </c>
      <c r="F36" s="316">
        <f t="shared" si="6"/>
        <v>0.97000000000000053</v>
      </c>
      <c r="G36" s="317">
        <f t="shared" si="3"/>
        <v>2084.0405369999999</v>
      </c>
      <c r="H36" s="321">
        <v>1.763E-2</v>
      </c>
      <c r="I36" s="319">
        <f t="shared" si="39"/>
        <v>97493.615024999977</v>
      </c>
      <c r="J36" s="316">
        <f t="shared" si="40"/>
        <v>0.82474999999999998</v>
      </c>
      <c r="K36" s="320">
        <f t="shared" si="41"/>
        <v>-0.14525000000000055</v>
      </c>
      <c r="L36" s="320" t="str">
        <f t="shared" si="42"/>
        <v>UNDER TARGET</v>
      </c>
    </row>
    <row r="37" spans="1:18" x14ac:dyDescent="0.2">
      <c r="A37" s="293">
        <v>28</v>
      </c>
      <c r="B37" s="177">
        <v>43921</v>
      </c>
      <c r="C37" s="297" t="s">
        <v>23</v>
      </c>
      <c r="D37" s="261">
        <v>0.03</v>
      </c>
      <c r="E37" s="315">
        <f t="shared" si="2"/>
        <v>118209.90000000005</v>
      </c>
      <c r="F37" s="316">
        <f t="shared" si="6"/>
        <v>1.0000000000000004</v>
      </c>
      <c r="G37" s="317">
        <f t="shared" si="3"/>
        <v>1654.9386</v>
      </c>
      <c r="H37" s="321">
        <v>1.4E-2</v>
      </c>
      <c r="I37" s="319">
        <v>98394.779716048011</v>
      </c>
      <c r="J37" s="316">
        <v>0.83237342824964744</v>
      </c>
      <c r="K37" s="320">
        <f t="shared" si="41"/>
        <v>-0.167626571750353</v>
      </c>
      <c r="L37" s="320" t="str">
        <f t="shared" si="42"/>
        <v>UNDER TARGET</v>
      </c>
    </row>
    <row r="38" spans="1:18" s="45" customFormat="1" x14ac:dyDescent="0.2">
      <c r="A38" s="289"/>
      <c r="B38" s="177"/>
      <c r="C38" s="209"/>
      <c r="D38" s="41"/>
      <c r="E38" s="41"/>
      <c r="F38" s="42"/>
      <c r="G38" s="43"/>
      <c r="H38" s="321"/>
      <c r="I38" s="44"/>
      <c r="J38" s="42"/>
      <c r="K38" s="183"/>
      <c r="L38" s="183"/>
      <c r="M38" s="277"/>
      <c r="N38" s="281"/>
      <c r="O38" s="35"/>
      <c r="P38" s="281"/>
      <c r="Q38" s="281"/>
      <c r="R38" s="281"/>
    </row>
    <row r="39" spans="1:18" s="45" customFormat="1" ht="15.75" customHeight="1" x14ac:dyDescent="0.2">
      <c r="A39" s="334" t="s">
        <v>10</v>
      </c>
      <c r="B39" s="335"/>
      <c r="C39" s="335"/>
      <c r="D39" s="46">
        <f>'SLS MD'!D17/1000000</f>
        <v>118209.9</v>
      </c>
      <c r="E39" s="46"/>
      <c r="F39" s="8"/>
      <c r="G39" s="211">
        <f>'SLS MD'!E17/1000000</f>
        <v>98394.779716048011</v>
      </c>
      <c r="H39" s="8">
        <f>'SLS MD'!F17</f>
        <v>0.83237342824964744</v>
      </c>
      <c r="I39" s="44"/>
      <c r="J39" s="42"/>
      <c r="K39" s="183"/>
      <c r="L39" s="183"/>
      <c r="M39" s="277"/>
      <c r="N39" s="281"/>
      <c r="O39" s="35"/>
      <c r="P39" s="281"/>
      <c r="Q39" s="281"/>
      <c r="R39" s="281"/>
    </row>
    <row r="40" spans="1:18" s="47" customFormat="1" ht="23.25" customHeight="1" x14ac:dyDescent="0.2">
      <c r="A40" s="290"/>
      <c r="C40" s="171" t="s">
        <v>134</v>
      </c>
      <c r="D40" s="185">
        <v>189389.63363636355</v>
      </c>
      <c r="E40" s="206"/>
      <c r="F40" s="193"/>
      <c r="G40" s="210">
        <v>373798</v>
      </c>
      <c r="H40" s="197">
        <v>0</v>
      </c>
      <c r="I40" s="196"/>
      <c r="J40" s="172"/>
      <c r="M40" s="278"/>
      <c r="N40" s="282"/>
      <c r="O40" s="282"/>
      <c r="P40" s="282"/>
      <c r="Q40" s="282"/>
      <c r="R40" s="282"/>
    </row>
    <row r="41" spans="1:18" s="49" customFormat="1" ht="5.25" customHeight="1" x14ac:dyDescent="0.2">
      <c r="A41" s="291"/>
      <c r="B41" s="48"/>
      <c r="D41" s="52"/>
      <c r="E41" s="50"/>
      <c r="F41" s="194"/>
      <c r="G41" s="198"/>
      <c r="H41" s="199"/>
      <c r="I41" s="200"/>
      <c r="J41" s="173"/>
      <c r="K41" s="48"/>
      <c r="M41" s="279"/>
      <c r="N41" s="283"/>
      <c r="O41" s="283"/>
      <c r="P41" s="283"/>
      <c r="Q41" s="283"/>
      <c r="R41" s="283"/>
    </row>
    <row r="42" spans="1:18" x14ac:dyDescent="0.2">
      <c r="B42" s="178" t="s">
        <v>140</v>
      </c>
      <c r="E42" s="50"/>
      <c r="F42" s="195"/>
      <c r="G42" s="201"/>
      <c r="H42" s="202"/>
      <c r="I42" s="203"/>
      <c r="J42" s="173"/>
      <c r="K42" s="48"/>
    </row>
    <row r="43" spans="1:18" x14ac:dyDescent="0.2">
      <c r="B43" s="179" t="s">
        <v>139</v>
      </c>
      <c r="E43" s="50"/>
      <c r="F43" s="194"/>
      <c r="G43" s="204">
        <v>0.56612984360775753</v>
      </c>
      <c r="H43" s="174">
        <v>0</v>
      </c>
      <c r="I43" s="205">
        <v>0</v>
      </c>
      <c r="J43" s="173"/>
      <c r="K43" s="48"/>
    </row>
    <row r="44" spans="1:18" x14ac:dyDescent="0.2">
      <c r="E44" s="50"/>
      <c r="F44" s="194"/>
      <c r="G44" s="200"/>
      <c r="H44" s="174"/>
      <c r="I44" s="200"/>
      <c r="J44" s="173"/>
      <c r="K44" s="48"/>
    </row>
    <row r="45" spans="1:18" x14ac:dyDescent="0.2">
      <c r="B45" s="178">
        <f>'SLS MD'!B61</f>
        <v>0</v>
      </c>
      <c r="E45" s="50"/>
      <c r="F45" s="194"/>
      <c r="G45" s="53"/>
      <c r="H45" s="175"/>
      <c r="I45" s="53"/>
      <c r="J45" s="173"/>
      <c r="K45" s="48"/>
    </row>
    <row r="46" spans="1:18" x14ac:dyDescent="0.2">
      <c r="F46" s="174"/>
      <c r="G46" s="50"/>
      <c r="H46" s="51"/>
      <c r="I46" s="50"/>
      <c r="J46" s="207"/>
      <c r="K46" s="48"/>
    </row>
    <row r="47" spans="1:18" x14ac:dyDescent="0.2">
      <c r="F47" s="174"/>
      <c r="G47" s="53"/>
      <c r="H47" s="176"/>
      <c r="I47" s="53"/>
      <c r="J47" s="173"/>
    </row>
    <row r="48" spans="1:18" x14ac:dyDescent="0.2">
      <c r="G48" s="166"/>
      <c r="H48" s="167"/>
      <c r="I48" s="157"/>
    </row>
    <row r="49" spans="7:8" x14ac:dyDescent="0.2">
      <c r="G49" s="168"/>
      <c r="H49" s="34"/>
    </row>
  </sheetData>
  <mergeCells count="2">
    <mergeCell ref="A39:C39"/>
    <mergeCell ref="A2:B2"/>
  </mergeCells>
  <phoneticPr fontId="46" type="noConversion"/>
  <conditionalFormatting sqref="K38:K39">
    <cfRule type="cellIs" dxfId="13" priority="302" operator="lessThan">
      <formula>0</formula>
    </cfRule>
  </conditionalFormatting>
  <conditionalFormatting sqref="K7:K37">
    <cfRule type="cellIs" dxfId="12" priority="12" operator="lessThan">
      <formula>0</formula>
    </cfRule>
  </conditionalFormatting>
  <conditionalFormatting sqref="L7:L39">
    <cfRule type="cellIs" dxfId="11" priority="11" operator="lessThan">
      <formula>0</formula>
    </cfRule>
  </conditionalFormatting>
  <pageMargins left="0.62992125984252001" right="0.23622047244094499" top="0.51" bottom="0.511811023622047" header="3.9370078740157501E-2" footer="3.9370078740157501E-2"/>
  <pageSetup scale="73" orientation="landscape" copies="2" r:id="rId1"/>
  <headerFooter>
    <oddFooter>&amp;L&amp;8&amp;Z&amp;F&amp;R&amp;8&amp;D|&amp;T</oddFooter>
  </headerFooter>
  <ignoredErrors>
    <ignoredError sqref="F7: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P90"/>
  <sheetViews>
    <sheetView showGridLines="0" zoomScale="90" zoomScaleNormal="90" zoomScaleSheetLayoutView="100" zoomScalePageLayoutView="90" workbookViewId="0">
      <pane ySplit="4" topLeftCell="A5" activePane="bottomLeft" state="frozen"/>
      <selection pane="bottomLeft" activeCell="A5" sqref="A5"/>
    </sheetView>
  </sheetViews>
  <sheetFormatPr defaultColWidth="15" defaultRowHeight="11.25" customHeight="1" x14ac:dyDescent="0.2"/>
  <cols>
    <col min="1" max="1" width="7.5703125" style="3" customWidth="1"/>
    <col min="2" max="2" width="32.42578125" style="3" bestFit="1" customWidth="1"/>
    <col min="3" max="3" width="10.7109375" style="27" customWidth="1"/>
    <col min="4" max="4" width="9.85546875" style="27" customWidth="1"/>
    <col min="5" max="5" width="7.7109375" style="17" customWidth="1"/>
    <col min="6" max="8" width="6.85546875" style="2" customWidth="1"/>
    <col min="9" max="9" width="6.85546875" style="28" customWidth="1"/>
    <col min="10" max="10" width="8.28515625" style="27" bestFit="1" customWidth="1"/>
    <col min="11" max="11" width="6.85546875" style="165" hidden="1" customWidth="1"/>
    <col min="12" max="12" width="8.42578125" style="27" customWidth="1"/>
    <col min="13" max="13" width="9" style="162" bestFit="1" customWidth="1"/>
    <col min="14" max="14" width="9" style="3" bestFit="1" customWidth="1"/>
    <col min="15" max="15" width="9.28515625" style="4" customWidth="1"/>
    <col min="16" max="16" width="9.28515625" style="3" hidden="1" customWidth="1"/>
    <col min="17" max="16384" width="15" style="3"/>
  </cols>
  <sheetData>
    <row r="1" spans="1:16" s="19" customFormat="1" ht="18" x14ac:dyDescent="0.25">
      <c r="A1" s="12" t="s">
        <v>137</v>
      </c>
      <c r="B1" s="15"/>
      <c r="C1" s="16"/>
      <c r="D1" s="16"/>
      <c r="E1" s="17"/>
      <c r="F1" s="17"/>
      <c r="G1" s="17"/>
      <c r="H1" s="17"/>
      <c r="I1" s="18"/>
      <c r="J1" s="16"/>
      <c r="K1" s="163"/>
      <c r="L1" s="16"/>
      <c r="M1" s="160"/>
      <c r="O1" s="5"/>
    </row>
    <row r="2" spans="1:16" s="19" customFormat="1" ht="18" x14ac:dyDescent="0.25">
      <c r="A2" s="243" t="s">
        <v>11</v>
      </c>
      <c r="B2" s="294">
        <f>'SLS MD'!C2</f>
        <v>31</v>
      </c>
      <c r="C2" s="208">
        <f>'SLS MD'!D2</f>
        <v>43891</v>
      </c>
      <c r="D2" s="16"/>
      <c r="E2" s="17"/>
      <c r="F2" s="17"/>
      <c r="G2" s="17"/>
      <c r="H2" s="17"/>
      <c r="I2" s="18"/>
      <c r="J2" s="16"/>
      <c r="K2" s="163"/>
      <c r="L2" s="16"/>
      <c r="M2" s="160"/>
      <c r="O2" s="5"/>
    </row>
    <row r="3" spans="1:16" s="19" customFormat="1" ht="3.95" customHeight="1" x14ac:dyDescent="0.2">
      <c r="A3" s="20">
        <v>25.806451612903224</v>
      </c>
      <c r="C3" s="16"/>
      <c r="D3" s="16"/>
      <c r="E3" s="220">
        <v>65</v>
      </c>
      <c r="F3" s="216">
        <v>65</v>
      </c>
      <c r="G3" s="17"/>
      <c r="H3" s="17"/>
      <c r="I3" s="18"/>
      <c r="J3" s="16"/>
      <c r="K3" s="163"/>
      <c r="L3" s="16"/>
      <c r="M3" s="160"/>
      <c r="O3" s="5"/>
    </row>
    <row r="4" spans="1:16" s="21" customFormat="1" ht="27.75" customHeight="1" x14ac:dyDescent="0.2">
      <c r="A4" s="244" t="s">
        <v>28</v>
      </c>
      <c r="B4" s="245" t="s">
        <v>30</v>
      </c>
      <c r="C4" s="246" t="s">
        <v>27</v>
      </c>
      <c r="D4" s="246" t="s">
        <v>1</v>
      </c>
      <c r="E4" s="247" t="s">
        <v>271</v>
      </c>
      <c r="F4" s="247" t="s">
        <v>272</v>
      </c>
      <c r="G4" s="247" t="s">
        <v>273</v>
      </c>
      <c r="H4" s="247" t="s">
        <v>274</v>
      </c>
      <c r="I4" s="227" t="s">
        <v>48</v>
      </c>
      <c r="J4" s="246" t="s">
        <v>275</v>
      </c>
      <c r="K4" s="248" t="s">
        <v>44</v>
      </c>
      <c r="L4" s="246" t="s">
        <v>56</v>
      </c>
      <c r="M4" s="217" t="s">
        <v>276</v>
      </c>
      <c r="N4" s="218" t="s">
        <v>154</v>
      </c>
      <c r="O4" s="229" t="s">
        <v>33</v>
      </c>
    </row>
    <row r="5" spans="1:16" ht="12.75" x14ac:dyDescent="0.2">
      <c r="A5" s="6" t="s">
        <v>36</v>
      </c>
      <c r="B5" s="7" t="s">
        <v>251</v>
      </c>
      <c r="C5" s="22">
        <f>(VLOOKUP(B5,DATA!A:AT,4,FALSE))/1000000</f>
        <v>1620</v>
      </c>
      <c r="D5" s="22">
        <f>VLOOKUP(B5,DATA!$A$36:$V$133,22,FALSE)/1000000</f>
        <v>1488.448945784</v>
      </c>
      <c r="E5" s="223">
        <f>IFERROR(D5/C5,0)</f>
        <v>0.91879564554567905</v>
      </c>
      <c r="F5" s="22">
        <f>(VLOOKUP(B5,DATA!A:AW,24,FALSE))/1</f>
        <v>14.137</v>
      </c>
      <c r="G5" s="22">
        <f>(VLOOKUP(B5,DATA!A:AX,25,FALSE))/1</f>
        <v>13.922000000000001</v>
      </c>
      <c r="H5" s="23">
        <f>G5-F5</f>
        <v>-0.21499999999999986</v>
      </c>
      <c r="I5" s="22">
        <f>(VLOOKUP(B5,DATA!A:AZ,12,FALSE))/1</f>
        <v>8.5579999999999998</v>
      </c>
      <c r="J5" s="274">
        <v>1503.557529294</v>
      </c>
      <c r="K5" s="249">
        <f>(D5-J5)/J5</f>
        <v>-1.0048556982780897E-2</v>
      </c>
      <c r="L5" s="24">
        <f>(D5/$B$2)*31*100%</f>
        <v>1488.448945784</v>
      </c>
      <c r="M5" s="161">
        <f>IFERROR(L5/C5,0)</f>
        <v>0.91879564554567905</v>
      </c>
      <c r="N5" s="219">
        <f>IFERROR((L5-J5)/J5,0)</f>
        <v>-1.0048556982780897E-2</v>
      </c>
      <c r="O5" s="258" t="s">
        <v>344</v>
      </c>
      <c r="P5" s="258" t="str">
        <f>VLOOKUP(B5,DATA!$A$36:$AC$143,29,FALSE)</f>
        <v>'31-03-2020</v>
      </c>
    </row>
    <row r="6" spans="1:16" ht="12.75" x14ac:dyDescent="0.2">
      <c r="A6" s="6" t="s">
        <v>43</v>
      </c>
      <c r="B6" s="7" t="s">
        <v>252</v>
      </c>
      <c r="C6" s="22">
        <f>(VLOOKUP(B6,DATA!A:AT,4,FALSE))/1000000</f>
        <v>4350</v>
      </c>
      <c r="D6" s="22">
        <f>VLOOKUP(B6,DATA!$A$36:$V$133,22,FALSE)/1000000</f>
        <v>3198.4551713670003</v>
      </c>
      <c r="E6" s="223">
        <f t="shared" ref="E6:E66" si="0">IFERROR(D6/C6,0)</f>
        <v>0.73527705088896556</v>
      </c>
      <c r="F6" s="22">
        <f>(VLOOKUP(B6,DATA!A:AW,24,FALSE))/1</f>
        <v>14.287000000000001</v>
      </c>
      <c r="G6" s="22">
        <f>(VLOOKUP(B6,DATA!A:AX,25,FALSE))/1</f>
        <v>16.672000000000001</v>
      </c>
      <c r="H6" s="23">
        <f t="shared" ref="H6:H58" si="1">G6-F6</f>
        <v>2.3849999999999998</v>
      </c>
      <c r="I6" s="22">
        <f>(VLOOKUP(B6,DATA!A:AZ,12,FALSE))/1</f>
        <v>7.0179999999999998</v>
      </c>
      <c r="J6" s="274">
        <v>3429.6108411089999</v>
      </c>
      <c r="K6" s="249">
        <f t="shared" ref="K6:K58" si="2">(D6-J6)/J6</f>
        <v>-6.7399970565538883E-2</v>
      </c>
      <c r="L6" s="24">
        <f t="shared" ref="L6:L66" si="3">(D6/$B$2)*31*100%</f>
        <v>3198.4551713670003</v>
      </c>
      <c r="M6" s="161">
        <f t="shared" ref="M6:M66" si="4">IFERROR(L6/C6,0)</f>
        <v>0.73527705088896556</v>
      </c>
      <c r="N6" s="219">
        <f t="shared" ref="N6:N66" si="5">IFERROR((L6-J6)/J6,0)</f>
        <v>-6.7399970565538883E-2</v>
      </c>
      <c r="O6" s="258" t="s">
        <v>344</v>
      </c>
      <c r="P6" s="258" t="str">
        <f>VLOOKUP(B6,DATA!$A$36:$AC$143,29,FALSE)</f>
        <v>'31-03-2020</v>
      </c>
    </row>
    <row r="7" spans="1:16" ht="12.75" x14ac:dyDescent="0.2">
      <c r="A7" s="6" t="s">
        <v>32</v>
      </c>
      <c r="B7" s="7" t="s">
        <v>290</v>
      </c>
      <c r="C7" s="22">
        <f>(VLOOKUP(B7,DATA!A:AT,4,FALSE))/1000000</f>
        <v>2410</v>
      </c>
      <c r="D7" s="22">
        <f>VLOOKUP(B7,DATA!$A$36:$V$133,22,FALSE)/1000000</f>
        <v>1387.3153729219998</v>
      </c>
      <c r="E7" s="223">
        <f t="shared" si="0"/>
        <v>0.57564953233278005</v>
      </c>
      <c r="F7" s="22">
        <f>(VLOOKUP(B7,DATA!A:AW,24,FALSE))/1</f>
        <v>11.212</v>
      </c>
      <c r="G7" s="22">
        <f>(VLOOKUP(B7,DATA!A:AX,25,FALSE))/1</f>
        <v>17.611000000000001</v>
      </c>
      <c r="H7" s="23">
        <f t="shared" si="1"/>
        <v>6.3990000000000009</v>
      </c>
      <c r="I7" s="22">
        <f>(VLOOKUP(B7,DATA!A:AZ,12,FALSE))/1</f>
        <v>6.9630000000000001</v>
      </c>
      <c r="J7" s="274">
        <v>2033.7782424690001</v>
      </c>
      <c r="K7" s="249">
        <f t="shared" si="2"/>
        <v>-0.31786300789716215</v>
      </c>
      <c r="L7" s="24">
        <f t="shared" si="3"/>
        <v>1387.3153729219998</v>
      </c>
      <c r="M7" s="161">
        <f t="shared" si="4"/>
        <v>0.57564953233278005</v>
      </c>
      <c r="N7" s="219">
        <f t="shared" si="5"/>
        <v>-0.31786300789716215</v>
      </c>
      <c r="O7" s="322" t="s">
        <v>339</v>
      </c>
      <c r="P7" s="258" t="str">
        <f>VLOOKUP(B7,DATA!$A$36:$AC$143,29,FALSE)</f>
        <v>'27-03-2020</v>
      </c>
    </row>
    <row r="8" spans="1:16" ht="12.75" x14ac:dyDescent="0.2">
      <c r="A8" s="6" t="s">
        <v>46</v>
      </c>
      <c r="B8" s="7" t="s">
        <v>253</v>
      </c>
      <c r="C8" s="22">
        <f>(VLOOKUP(B8,DATA!A:AT,4,FALSE))/1000000</f>
        <v>2520</v>
      </c>
      <c r="D8" s="22">
        <f>VLOOKUP(B8,DATA!$A$36:$V$133,22,FALSE)/1000000</f>
        <v>2144.1544272629999</v>
      </c>
      <c r="E8" s="223">
        <f t="shared" si="0"/>
        <v>0.85085493145357138</v>
      </c>
      <c r="F8" s="22">
        <f>(VLOOKUP(B8,DATA!A:AW,24,FALSE))/1</f>
        <v>14.188000000000001</v>
      </c>
      <c r="G8" s="22">
        <f>(VLOOKUP(B8,DATA!A:AX,25,FALSE))/1</f>
        <v>21.015999999999998</v>
      </c>
      <c r="H8" s="23">
        <f t="shared" si="1"/>
        <v>6.8279999999999976</v>
      </c>
      <c r="I8" s="22">
        <f>(VLOOKUP(B8,DATA!A:AZ,12,FALSE))/1</f>
        <v>12.587</v>
      </c>
      <c r="J8" s="274">
        <v>2455.7310237549996</v>
      </c>
      <c r="K8" s="249">
        <f t="shared" si="2"/>
        <v>-0.12687733040712879</v>
      </c>
      <c r="L8" s="24">
        <f t="shared" si="3"/>
        <v>2144.1544272629999</v>
      </c>
      <c r="M8" s="161">
        <f t="shared" si="4"/>
        <v>0.85085493145357138</v>
      </c>
      <c r="N8" s="219">
        <f t="shared" si="5"/>
        <v>-0.12687733040712879</v>
      </c>
      <c r="O8" s="258" t="s">
        <v>344</v>
      </c>
      <c r="P8" s="258" t="str">
        <f>VLOOKUP(B8,DATA!$A$36:$AC$143,29,FALSE)</f>
        <v>'31-03-2020</v>
      </c>
    </row>
    <row r="9" spans="1:16" ht="12.75" x14ac:dyDescent="0.2">
      <c r="A9" s="6" t="s">
        <v>47</v>
      </c>
      <c r="B9" s="7" t="s">
        <v>307</v>
      </c>
      <c r="C9" s="22">
        <f>(VLOOKUP(B9,DATA!A:AT,4,FALSE))/1000000</f>
        <v>1100</v>
      </c>
      <c r="D9" s="22">
        <f>VLOOKUP(B9,DATA!$A$36:$V$133,22,FALSE)/1000000</f>
        <v>915.82260137399999</v>
      </c>
      <c r="E9" s="223">
        <f t="shared" si="0"/>
        <v>0.83256600124909086</v>
      </c>
      <c r="F9" s="22">
        <f>(VLOOKUP(B9,DATA!A:AW,24,FALSE))/1</f>
        <v>16.157</v>
      </c>
      <c r="G9" s="22">
        <f>(VLOOKUP(B9,DATA!A:AX,25,FALSE))/1</f>
        <v>15.77</v>
      </c>
      <c r="H9" s="23">
        <f t="shared" si="1"/>
        <v>-0.38700000000000045</v>
      </c>
      <c r="I9" s="22">
        <f>(VLOOKUP(B9,DATA!A:AZ,12,FALSE))/1</f>
        <v>11.172000000000001</v>
      </c>
      <c r="J9" s="274">
        <v>1457.7736718309998</v>
      </c>
      <c r="K9" s="249">
        <f t="shared" si="2"/>
        <v>-0.371766263123888</v>
      </c>
      <c r="L9" s="24">
        <f t="shared" si="3"/>
        <v>915.82260137399999</v>
      </c>
      <c r="M9" s="161">
        <f t="shared" si="4"/>
        <v>0.83256600124909086</v>
      </c>
      <c r="N9" s="219">
        <f t="shared" si="5"/>
        <v>-0.371766263123888</v>
      </c>
      <c r="O9" s="258" t="s">
        <v>344</v>
      </c>
      <c r="P9" s="258" t="str">
        <f>VLOOKUP(B9,DATA!$A$36:$AC$143,29,FALSE)</f>
        <v>'31-03-2020</v>
      </c>
    </row>
    <row r="10" spans="1:16" ht="12.75" x14ac:dyDescent="0.2">
      <c r="A10" s="6" t="s">
        <v>79</v>
      </c>
      <c r="B10" s="7" t="s">
        <v>208</v>
      </c>
      <c r="C10" s="22">
        <f>(VLOOKUP(B10,DATA!A:AT,4,FALSE))/1000000</f>
        <v>1490</v>
      </c>
      <c r="D10" s="22">
        <f>VLOOKUP(B10,DATA!$A$36:$V$133,22,FALSE)/1000000</f>
        <v>1014.631703122</v>
      </c>
      <c r="E10" s="223">
        <f t="shared" si="0"/>
        <v>0.6809608745785235</v>
      </c>
      <c r="F10" s="22">
        <f>(VLOOKUP(B10,DATA!A:AW,24,FALSE))/1</f>
        <v>10.896000000000001</v>
      </c>
      <c r="G10" s="22">
        <f>(VLOOKUP(B10,DATA!A:AX,25,FALSE))/1</f>
        <v>20.834</v>
      </c>
      <c r="H10" s="23">
        <f t="shared" si="1"/>
        <v>9.9379999999999988</v>
      </c>
      <c r="I10" s="22">
        <f>(VLOOKUP(B10,DATA!A:AZ,12,FALSE))/1</f>
        <v>7.1429999999999998</v>
      </c>
      <c r="J10" s="274">
        <v>1314.7387879229998</v>
      </c>
      <c r="K10" s="249">
        <f t="shared" si="2"/>
        <v>-0.22826365781381067</v>
      </c>
      <c r="L10" s="24">
        <f t="shared" si="3"/>
        <v>1014.631703122</v>
      </c>
      <c r="M10" s="161">
        <f t="shared" si="4"/>
        <v>0.6809608745785235</v>
      </c>
      <c r="N10" s="219">
        <f t="shared" si="5"/>
        <v>-0.22826365781381067</v>
      </c>
      <c r="O10" s="322" t="s">
        <v>337</v>
      </c>
      <c r="P10" s="258" t="str">
        <f>VLOOKUP(B10,DATA!$A$36:$AC$143,29,FALSE)</f>
        <v>'24-03-2020</v>
      </c>
    </row>
    <row r="11" spans="1:16" ht="12.75" x14ac:dyDescent="0.2">
      <c r="A11" s="6" t="s">
        <v>80</v>
      </c>
      <c r="B11" s="7" t="s">
        <v>209</v>
      </c>
      <c r="C11" s="22">
        <f>(VLOOKUP(B11,DATA!A:AT,4,FALSE))/1000000</f>
        <v>1660</v>
      </c>
      <c r="D11" s="22">
        <f>VLOOKUP(B11,DATA!$A$36:$V$133,22,FALSE)/1000000</f>
        <v>1414.785358545</v>
      </c>
      <c r="E11" s="223">
        <f t="shared" si="0"/>
        <v>0.85228033647289159</v>
      </c>
      <c r="F11" s="22">
        <f>(VLOOKUP(B11,DATA!A:AW,24,FALSE))/1</f>
        <v>13.221</v>
      </c>
      <c r="G11" s="22">
        <f>(VLOOKUP(B11,DATA!A:AX,25,FALSE))/1</f>
        <v>16.646999999999998</v>
      </c>
      <c r="H11" s="23">
        <f t="shared" si="1"/>
        <v>3.4259999999999984</v>
      </c>
      <c r="I11" s="22">
        <f>(VLOOKUP(B11,DATA!A:AZ,12,FALSE))/1</f>
        <v>7.1630000000000003</v>
      </c>
      <c r="J11" s="274">
        <v>1652.9544232650001</v>
      </c>
      <c r="K11" s="249">
        <f t="shared" si="2"/>
        <v>-0.14408689154874357</v>
      </c>
      <c r="L11" s="24">
        <f t="shared" si="3"/>
        <v>1414.785358545</v>
      </c>
      <c r="M11" s="161">
        <f t="shared" si="4"/>
        <v>0.85228033647289159</v>
      </c>
      <c r="N11" s="219">
        <f t="shared" si="5"/>
        <v>-0.14408689154874357</v>
      </c>
      <c r="O11" s="258" t="s">
        <v>344</v>
      </c>
      <c r="P11" s="258" t="str">
        <f>VLOOKUP(B11,DATA!$A$36:$AC$143,29,FALSE)</f>
        <v>'31-03-2020</v>
      </c>
    </row>
    <row r="12" spans="1:16" ht="12.75" x14ac:dyDescent="0.2">
      <c r="A12" s="6" t="s">
        <v>288</v>
      </c>
      <c r="B12" s="7" t="s">
        <v>287</v>
      </c>
      <c r="C12" s="22">
        <f>(VLOOKUP(B12,DATA!A:AT,4,FALSE))/1000000</f>
        <v>1390.2</v>
      </c>
      <c r="D12" s="22">
        <f>VLOOKUP(B12,DATA!$A$36:$V$133,22,FALSE)/1000000</f>
        <v>1500.8557440050001</v>
      </c>
      <c r="E12" s="223">
        <f t="shared" si="0"/>
        <v>1.0795969961192635</v>
      </c>
      <c r="F12" s="22">
        <f>(VLOOKUP(B12,DATA!A:AW,24,FALSE))/1</f>
        <v>12.43</v>
      </c>
      <c r="G12" s="22">
        <f>(VLOOKUP(B12,DATA!A:AX,25,FALSE))/1</f>
        <v>-19.408000000000001</v>
      </c>
      <c r="H12" s="23">
        <f t="shared" ref="H12" si="6">G12-F12</f>
        <v>-31.838000000000001</v>
      </c>
      <c r="I12" s="22">
        <f>(VLOOKUP(B12,DATA!A:AZ,12,FALSE))/1</f>
        <v>10.55</v>
      </c>
      <c r="J12" s="274">
        <v>1153.3539220780001</v>
      </c>
      <c r="K12" s="249">
        <f t="shared" ref="K12" si="7">(D12-J12)/J12</f>
        <v>0.30129677913688913</v>
      </c>
      <c r="L12" s="24">
        <f t="shared" si="3"/>
        <v>1500.8557440050001</v>
      </c>
      <c r="M12" s="161">
        <f t="shared" si="4"/>
        <v>1.0795969961192635</v>
      </c>
      <c r="N12" s="219">
        <f t="shared" si="5"/>
        <v>0.30129677913688913</v>
      </c>
      <c r="O12" s="322" t="s">
        <v>346</v>
      </c>
      <c r="P12" s="258" t="str">
        <f>VLOOKUP(B12,DATA!$A$36:$AC$143,29,FALSE)</f>
        <v>'30-03-2020</v>
      </c>
    </row>
    <row r="13" spans="1:16" ht="12.75" x14ac:dyDescent="0.2">
      <c r="A13" s="6" t="s">
        <v>153</v>
      </c>
      <c r="B13" s="7" t="s">
        <v>210</v>
      </c>
      <c r="C13" s="22">
        <f>(VLOOKUP(B13,DATA!A:AT,4,FALSE))/1000000</f>
        <v>1510.1</v>
      </c>
      <c r="D13" s="22">
        <f>VLOOKUP(B13,DATA!$A$36:$V$133,22,FALSE)/1000000</f>
        <v>1525.8989793650001</v>
      </c>
      <c r="E13" s="223">
        <f t="shared" si="0"/>
        <v>1.010462207380306</v>
      </c>
      <c r="F13" s="22">
        <f>(VLOOKUP(B13,DATA!A:AW,24,FALSE))/1</f>
        <v>10.817</v>
      </c>
      <c r="G13" s="22">
        <f>(VLOOKUP(B13,DATA!A:AX,25,FALSE))/1</f>
        <v>4.4980000000000002</v>
      </c>
      <c r="H13" s="23">
        <f t="shared" si="1"/>
        <v>-6.319</v>
      </c>
      <c r="I13" s="22">
        <f>(VLOOKUP(B13,DATA!A:AZ,12,FALSE))/1</f>
        <v>10.696</v>
      </c>
      <c r="J13" s="274">
        <v>1308.4913047880002</v>
      </c>
      <c r="K13" s="249">
        <f t="shared" si="2"/>
        <v>0.1661514094755287</v>
      </c>
      <c r="L13" s="24">
        <f t="shared" si="3"/>
        <v>1525.8989793650001</v>
      </c>
      <c r="M13" s="161">
        <f t="shared" si="4"/>
        <v>1.010462207380306</v>
      </c>
      <c r="N13" s="219">
        <f t="shared" si="5"/>
        <v>0.1661514094755287</v>
      </c>
      <c r="O13" s="258" t="s">
        <v>344</v>
      </c>
      <c r="P13" s="258" t="str">
        <f>VLOOKUP(B13,DATA!$A$36:$AC$143,29,FALSE)</f>
        <v>'31-03-2020</v>
      </c>
    </row>
    <row r="14" spans="1:16" ht="12.75" x14ac:dyDescent="0.2">
      <c r="A14" s="6" t="s">
        <v>81</v>
      </c>
      <c r="B14" s="7" t="s">
        <v>211</v>
      </c>
      <c r="C14" s="22">
        <f>(VLOOKUP(B14,DATA!A:AT,4,FALSE))/1000000</f>
        <v>2060</v>
      </c>
      <c r="D14" s="22">
        <f>VLOOKUP(B14,DATA!$A$36:$V$133,22,FALSE)/1000000</f>
        <v>1798.726849461</v>
      </c>
      <c r="E14" s="223">
        <f t="shared" si="0"/>
        <v>0.87316837352475729</v>
      </c>
      <c r="F14" s="22">
        <f>(VLOOKUP(B14,DATA!A:AW,24,FALSE))/1</f>
        <v>11.913</v>
      </c>
      <c r="G14" s="22">
        <f>(VLOOKUP(B14,DATA!A:AX,25,FALSE))/1</f>
        <v>18.236000000000001</v>
      </c>
      <c r="H14" s="23">
        <f t="shared" si="1"/>
        <v>6.3230000000000004</v>
      </c>
      <c r="I14" s="22">
        <f>(VLOOKUP(B14,DATA!A:AZ,12,FALSE))/1</f>
        <v>7.1689999999999996</v>
      </c>
      <c r="J14" s="274">
        <v>1728.3605806119997</v>
      </c>
      <c r="K14" s="249">
        <f t="shared" si="2"/>
        <v>4.071272490146944E-2</v>
      </c>
      <c r="L14" s="24">
        <f t="shared" si="3"/>
        <v>1798.726849461</v>
      </c>
      <c r="M14" s="161">
        <f t="shared" si="4"/>
        <v>0.87316837352475729</v>
      </c>
      <c r="N14" s="219">
        <f t="shared" si="5"/>
        <v>4.071272490146944E-2</v>
      </c>
      <c r="O14" s="258" t="s">
        <v>344</v>
      </c>
      <c r="P14" s="258" t="str">
        <f>VLOOKUP(B14,DATA!$A$36:$AC$143,29,FALSE)</f>
        <v>'31-03-2020</v>
      </c>
    </row>
    <row r="15" spans="1:16" ht="12.75" x14ac:dyDescent="0.2">
      <c r="A15" s="6" t="s">
        <v>82</v>
      </c>
      <c r="B15" s="7" t="s">
        <v>212</v>
      </c>
      <c r="C15" s="22">
        <f>(VLOOKUP(B15,DATA!A:AT,4,FALSE))/1000000</f>
        <v>1870</v>
      </c>
      <c r="D15" s="22">
        <f>VLOOKUP(B15,DATA!$A$36:$V$133,22,FALSE)/1000000</f>
        <v>1584.222911007</v>
      </c>
      <c r="E15" s="223">
        <f t="shared" si="0"/>
        <v>0.84717802727647062</v>
      </c>
      <c r="F15" s="22">
        <f>(VLOOKUP(B15,DATA!A:AW,24,FALSE))/1</f>
        <v>10.925000000000001</v>
      </c>
      <c r="G15" s="22">
        <f>(VLOOKUP(B15,DATA!A:AX,25,FALSE))/1</f>
        <v>20.934999999999999</v>
      </c>
      <c r="H15" s="23">
        <f t="shared" si="1"/>
        <v>10.009999999999998</v>
      </c>
      <c r="I15" s="22">
        <f>(VLOOKUP(B15,DATA!A:AZ,12,FALSE))/1</f>
        <v>14.071999999999999</v>
      </c>
      <c r="J15" s="274">
        <v>1460.8368733539999</v>
      </c>
      <c r="K15" s="249">
        <f t="shared" si="2"/>
        <v>8.4462570669997308E-2</v>
      </c>
      <c r="L15" s="24">
        <f t="shared" si="3"/>
        <v>1584.222911007</v>
      </c>
      <c r="M15" s="161">
        <f t="shared" si="4"/>
        <v>0.84717802727647062</v>
      </c>
      <c r="N15" s="219">
        <f t="shared" si="5"/>
        <v>8.4462570669997308E-2</v>
      </c>
      <c r="O15" s="258" t="s">
        <v>344</v>
      </c>
      <c r="P15" s="258" t="str">
        <f>VLOOKUP(B15,DATA!$A$36:$AC$143,29,FALSE)</f>
        <v>'31-03-2020</v>
      </c>
    </row>
    <row r="16" spans="1:16" ht="12.75" x14ac:dyDescent="0.2">
      <c r="A16" s="6" t="s">
        <v>83</v>
      </c>
      <c r="B16" s="7" t="s">
        <v>213</v>
      </c>
      <c r="C16" s="22">
        <f>(VLOOKUP(B16,DATA!A:AT,4,FALSE))/1000000</f>
        <v>1730</v>
      </c>
      <c r="D16" s="22">
        <f>VLOOKUP(B16,DATA!$A$36:$V$133,22,FALSE)/1000000</f>
        <v>1260.9437586470001</v>
      </c>
      <c r="E16" s="223">
        <f t="shared" si="0"/>
        <v>0.7288692246514451</v>
      </c>
      <c r="F16" s="22">
        <f>(VLOOKUP(B16,DATA!A:AW,24,FALSE))/1</f>
        <v>12.802</v>
      </c>
      <c r="G16" s="22">
        <f>(VLOOKUP(B16,DATA!A:AX,25,FALSE))/1</f>
        <v>-1.6359999999999999</v>
      </c>
      <c r="H16" s="23">
        <f t="shared" si="1"/>
        <v>-14.437999999999999</v>
      </c>
      <c r="I16" s="22">
        <f>(VLOOKUP(B16,DATA!A:AZ,12,FALSE))/1</f>
        <v>9.984</v>
      </c>
      <c r="J16" s="274">
        <v>1374.2828808490003</v>
      </c>
      <c r="K16" s="249">
        <f t="shared" si="2"/>
        <v>-8.2471464777311293E-2</v>
      </c>
      <c r="L16" s="24">
        <f t="shared" si="3"/>
        <v>1260.9437586470001</v>
      </c>
      <c r="M16" s="161">
        <f t="shared" si="4"/>
        <v>0.7288692246514451</v>
      </c>
      <c r="N16" s="219">
        <f t="shared" si="5"/>
        <v>-8.2471464777311293E-2</v>
      </c>
      <c r="O16" s="258" t="s">
        <v>344</v>
      </c>
      <c r="P16" s="258" t="str">
        <f>VLOOKUP(B16,DATA!$A$36:$AC$143,29,FALSE)</f>
        <v>'31-03-2020</v>
      </c>
    </row>
    <row r="17" spans="1:16" ht="12.75" x14ac:dyDescent="0.2">
      <c r="A17" s="6" t="s">
        <v>84</v>
      </c>
      <c r="B17" s="7" t="s">
        <v>214</v>
      </c>
      <c r="C17" s="22">
        <f>(VLOOKUP(B17,DATA!A:AT,4,FALSE))/1000000</f>
        <v>1070</v>
      </c>
      <c r="D17" s="22">
        <f>VLOOKUP(B17,DATA!$A$36:$V$133,22,FALSE)/1000000</f>
        <v>962.42163673699997</v>
      </c>
      <c r="E17" s="223">
        <f t="shared" si="0"/>
        <v>0.89945947358598133</v>
      </c>
      <c r="F17" s="22">
        <f>(VLOOKUP(B17,DATA!A:AW,24,FALSE))/1</f>
        <v>12.605</v>
      </c>
      <c r="G17" s="22">
        <f>(VLOOKUP(B17,DATA!A:AX,25,FALSE))/1</f>
        <v>15.082000000000001</v>
      </c>
      <c r="H17" s="23">
        <f t="shared" si="1"/>
        <v>2.4770000000000003</v>
      </c>
      <c r="I17" s="22">
        <f>(VLOOKUP(B17,DATA!A:AZ,12,FALSE))/1</f>
        <v>8.5429999999999993</v>
      </c>
      <c r="J17" s="274">
        <v>1007.9892539299999</v>
      </c>
      <c r="K17" s="249">
        <f t="shared" si="2"/>
        <v>-4.5206451373701238E-2</v>
      </c>
      <c r="L17" s="24">
        <f t="shared" si="3"/>
        <v>962.42163673699997</v>
      </c>
      <c r="M17" s="161">
        <f t="shared" si="4"/>
        <v>0.89945947358598133</v>
      </c>
      <c r="N17" s="219">
        <f t="shared" si="5"/>
        <v>-4.5206451373701238E-2</v>
      </c>
      <c r="O17" s="258" t="s">
        <v>344</v>
      </c>
      <c r="P17" s="258" t="str">
        <f>VLOOKUP(B17,DATA!$A$36:$AC$143,29,FALSE)</f>
        <v>'31-03-2020</v>
      </c>
    </row>
    <row r="18" spans="1:16" ht="12.75" x14ac:dyDescent="0.2">
      <c r="A18" s="6" t="s">
        <v>85</v>
      </c>
      <c r="B18" s="7" t="s">
        <v>215</v>
      </c>
      <c r="C18" s="22">
        <f>(VLOOKUP(B18,DATA!A:AT,4,FALSE))/1000000</f>
        <v>1869.8</v>
      </c>
      <c r="D18" s="22">
        <f>VLOOKUP(B18,DATA!$A$36:$V$133,22,FALSE)/1000000</f>
        <v>1795.1768697069999</v>
      </c>
      <c r="E18" s="223">
        <f t="shared" si="0"/>
        <v>0.96009031431543479</v>
      </c>
      <c r="F18" s="22">
        <f>(VLOOKUP(B18,DATA!A:AW,24,FALSE))/1</f>
        <v>12.615</v>
      </c>
      <c r="G18" s="22">
        <f>(VLOOKUP(B18,DATA!A:AX,25,FALSE))/1</f>
        <v>13.785</v>
      </c>
      <c r="H18" s="23">
        <f t="shared" si="1"/>
        <v>1.17</v>
      </c>
      <c r="I18" s="22">
        <f>(VLOOKUP(B18,DATA!A:AZ,12,FALSE))/1</f>
        <v>7.6459999999999999</v>
      </c>
      <c r="J18" s="274">
        <v>1962.269160263</v>
      </c>
      <c r="K18" s="249">
        <f t="shared" si="2"/>
        <v>-8.515258453820114E-2</v>
      </c>
      <c r="L18" s="24">
        <f t="shared" si="3"/>
        <v>1795.1768697069999</v>
      </c>
      <c r="M18" s="161">
        <f t="shared" si="4"/>
        <v>0.96009031431543479</v>
      </c>
      <c r="N18" s="219">
        <f t="shared" si="5"/>
        <v>-8.515258453820114E-2</v>
      </c>
      <c r="O18" s="258" t="s">
        <v>344</v>
      </c>
      <c r="P18" s="258" t="str">
        <f>VLOOKUP(B18,DATA!$A$36:$AC$143,29,FALSE)</f>
        <v>'31-03-2020</v>
      </c>
    </row>
    <row r="19" spans="1:16" ht="12.75" x14ac:dyDescent="0.2">
      <c r="A19" s="6" t="s">
        <v>86</v>
      </c>
      <c r="B19" s="7" t="s">
        <v>216</v>
      </c>
      <c r="C19" s="22">
        <f>(VLOOKUP(B19,DATA!A:AT,4,FALSE))/1000000</f>
        <v>679.9</v>
      </c>
      <c r="D19" s="22">
        <f>VLOOKUP(B19,DATA!$A$36:$V$133,22,FALSE)/1000000</f>
        <v>656.52471863999995</v>
      </c>
      <c r="E19" s="223">
        <f t="shared" si="0"/>
        <v>0.96561953028386527</v>
      </c>
      <c r="F19" s="22">
        <f>(VLOOKUP(B19,DATA!A:AW,24,FALSE))/1</f>
        <v>12.093999999999999</v>
      </c>
      <c r="G19" s="22">
        <f>(VLOOKUP(B19,DATA!A:AX,25,FALSE))/1</f>
        <v>17.97</v>
      </c>
      <c r="H19" s="23">
        <f t="shared" si="1"/>
        <v>5.8759999999999994</v>
      </c>
      <c r="I19" s="22">
        <f>(VLOOKUP(B19,DATA!A:AZ,12,FALSE))/1</f>
        <v>7.8979999999999997</v>
      </c>
      <c r="J19" s="274">
        <v>441.17352583499991</v>
      </c>
      <c r="K19" s="249">
        <f t="shared" si="2"/>
        <v>0.48813262853297767</v>
      </c>
      <c r="L19" s="24">
        <f t="shared" si="3"/>
        <v>656.52471863999995</v>
      </c>
      <c r="M19" s="161">
        <f t="shared" si="4"/>
        <v>0.96561953028386527</v>
      </c>
      <c r="N19" s="219">
        <f t="shared" si="5"/>
        <v>0.48813262853297767</v>
      </c>
      <c r="O19" s="322" t="s">
        <v>346</v>
      </c>
      <c r="P19" s="258" t="str">
        <f>VLOOKUP(B19,DATA!$A$36:$AC$143,29,FALSE)</f>
        <v>'30-03-2020</v>
      </c>
    </row>
    <row r="20" spans="1:16" ht="12.75" x14ac:dyDescent="0.2">
      <c r="A20" s="6" t="s">
        <v>87</v>
      </c>
      <c r="B20" s="7" t="s">
        <v>217</v>
      </c>
      <c r="C20" s="22">
        <f>(VLOOKUP(B20,DATA!A:AT,4,FALSE))/1000000</f>
        <v>2080</v>
      </c>
      <c r="D20" s="22">
        <f>VLOOKUP(B20,DATA!$A$36:$V$133,22,FALSE)/1000000</f>
        <v>1871.9299120780001</v>
      </c>
      <c r="E20" s="223">
        <f t="shared" si="0"/>
        <v>0.89996630388365395</v>
      </c>
      <c r="F20" s="22">
        <f>(VLOOKUP(B20,DATA!A:AW,24,FALSE))/1</f>
        <v>12.53</v>
      </c>
      <c r="G20" s="22">
        <f>(VLOOKUP(B20,DATA!A:AX,25,FALSE))/1</f>
        <v>8.7949999999999999</v>
      </c>
      <c r="H20" s="23">
        <f t="shared" si="1"/>
        <v>-3.7349999999999994</v>
      </c>
      <c r="I20" s="22">
        <f>(VLOOKUP(B20,DATA!A:AZ,12,FALSE))/1</f>
        <v>8.7119999999999997</v>
      </c>
      <c r="J20" s="274">
        <v>1549.5616339620001</v>
      </c>
      <c r="K20" s="249">
        <f t="shared" si="2"/>
        <v>0.20803837101448622</v>
      </c>
      <c r="L20" s="24">
        <f t="shared" si="3"/>
        <v>1871.9299120780001</v>
      </c>
      <c r="M20" s="161">
        <f t="shared" si="4"/>
        <v>0.89996630388365395</v>
      </c>
      <c r="N20" s="219">
        <f t="shared" si="5"/>
        <v>0.20803837101448622</v>
      </c>
      <c r="O20" s="258" t="s">
        <v>344</v>
      </c>
      <c r="P20" s="258" t="str">
        <f>VLOOKUP(B20,DATA!$A$36:$AC$143,29,FALSE)</f>
        <v>'31-03-2020</v>
      </c>
    </row>
    <row r="21" spans="1:16" ht="12.75" x14ac:dyDescent="0.2">
      <c r="A21" s="6" t="s">
        <v>88</v>
      </c>
      <c r="B21" s="7" t="s">
        <v>218</v>
      </c>
      <c r="C21" s="22">
        <f>(VLOOKUP(B21,DATA!A:AT,4,FALSE))/1000000</f>
        <v>690</v>
      </c>
      <c r="D21" s="22">
        <f>VLOOKUP(B21,DATA!$A$36:$V$133,22,FALSE)/1000000</f>
        <v>604.57832109200001</v>
      </c>
      <c r="E21" s="223">
        <f t="shared" si="0"/>
        <v>0.8762004653507246</v>
      </c>
      <c r="F21" s="22">
        <f>(VLOOKUP(B21,DATA!A:AW,24,FALSE))/1</f>
        <v>12.18</v>
      </c>
      <c r="G21" s="22">
        <f>(VLOOKUP(B21,DATA!A:AX,25,FALSE))/1</f>
        <v>17.434999999999999</v>
      </c>
      <c r="H21" s="23">
        <f t="shared" si="1"/>
        <v>5.254999999999999</v>
      </c>
      <c r="I21" s="22">
        <f>(VLOOKUP(B21,DATA!A:AZ,12,FALSE))/1</f>
        <v>8.27</v>
      </c>
      <c r="J21" s="274">
        <v>538.51427101000002</v>
      </c>
      <c r="K21" s="249">
        <f t="shared" si="2"/>
        <v>0.12267836460135929</v>
      </c>
      <c r="L21" s="24">
        <f t="shared" si="3"/>
        <v>604.57832109200001</v>
      </c>
      <c r="M21" s="161">
        <f t="shared" si="4"/>
        <v>0.8762004653507246</v>
      </c>
      <c r="N21" s="219">
        <f t="shared" si="5"/>
        <v>0.12267836460135929</v>
      </c>
      <c r="O21" s="258" t="s">
        <v>344</v>
      </c>
      <c r="P21" s="258" t="str">
        <f>VLOOKUP(B21,DATA!$A$36:$AC$143,29,FALSE)</f>
        <v>'31-03-2020</v>
      </c>
    </row>
    <row r="22" spans="1:16" ht="12.75" x14ac:dyDescent="0.2">
      <c r="A22" s="6" t="s">
        <v>89</v>
      </c>
      <c r="B22" s="7" t="s">
        <v>219</v>
      </c>
      <c r="C22" s="22">
        <f>(VLOOKUP(B22,DATA!A:AT,4,FALSE))/1000000</f>
        <v>1170</v>
      </c>
      <c r="D22" s="22">
        <f>VLOOKUP(B22,DATA!$A$36:$V$133,22,FALSE)/1000000</f>
        <v>1170.801861614</v>
      </c>
      <c r="E22" s="223">
        <f t="shared" si="0"/>
        <v>1.0006853518068377</v>
      </c>
      <c r="F22" s="22">
        <f>(VLOOKUP(B22,DATA!A:AW,24,FALSE))/1</f>
        <v>13.577999999999999</v>
      </c>
      <c r="G22" s="22">
        <f>(VLOOKUP(B22,DATA!A:AX,25,FALSE))/1</f>
        <v>4.8460000000000001</v>
      </c>
      <c r="H22" s="23">
        <f t="shared" si="1"/>
        <v>-8.7319999999999993</v>
      </c>
      <c r="I22" s="22">
        <f>(VLOOKUP(B22,DATA!A:AZ,12,FALSE))/1</f>
        <v>6.6719999999999997</v>
      </c>
      <c r="J22" s="274">
        <v>1216.6431818530002</v>
      </c>
      <c r="K22" s="249">
        <f t="shared" si="2"/>
        <v>-3.7678524749698496E-2</v>
      </c>
      <c r="L22" s="24">
        <f t="shared" si="3"/>
        <v>1170.801861614</v>
      </c>
      <c r="M22" s="161">
        <f t="shared" si="4"/>
        <v>1.0006853518068377</v>
      </c>
      <c r="N22" s="219">
        <f t="shared" si="5"/>
        <v>-3.7678524749698496E-2</v>
      </c>
      <c r="O22" s="258" t="s">
        <v>344</v>
      </c>
      <c r="P22" s="258" t="str">
        <f>VLOOKUP(B22,DATA!$A$36:$AC$143,29,FALSE)</f>
        <v>'31-03-2020</v>
      </c>
    </row>
    <row r="23" spans="1:16" ht="12.75" x14ac:dyDescent="0.2">
      <c r="A23" s="6" t="s">
        <v>90</v>
      </c>
      <c r="B23" s="7" t="s">
        <v>220</v>
      </c>
      <c r="C23" s="22">
        <f>(VLOOKUP(B23,DATA!A:AT,4,FALSE))/1000000</f>
        <v>890</v>
      </c>
      <c r="D23" s="22">
        <f>VLOOKUP(B23,DATA!$A$36:$V$133,22,FALSE)/1000000</f>
        <v>975.80060852699989</v>
      </c>
      <c r="E23" s="223">
        <f t="shared" si="0"/>
        <v>1.0964051781202246</v>
      </c>
      <c r="F23" s="22">
        <f>(VLOOKUP(B23,DATA!A:AW,24,FALSE))/1</f>
        <v>13.201000000000001</v>
      </c>
      <c r="G23" s="22">
        <f>(VLOOKUP(B23,DATA!A:AX,25,FALSE))/1</f>
        <v>13.747999999999999</v>
      </c>
      <c r="H23" s="23">
        <f t="shared" si="1"/>
        <v>0.54699999999999882</v>
      </c>
      <c r="I23" s="22">
        <f>(VLOOKUP(B23,DATA!A:AZ,12,FALSE))/1</f>
        <v>9.15</v>
      </c>
      <c r="J23" s="274">
        <v>857.44258092200005</v>
      </c>
      <c r="K23" s="249">
        <f t="shared" si="2"/>
        <v>0.13803609738827124</v>
      </c>
      <c r="L23" s="24">
        <f t="shared" si="3"/>
        <v>975.80060852699989</v>
      </c>
      <c r="M23" s="161">
        <f t="shared" si="4"/>
        <v>1.0964051781202246</v>
      </c>
      <c r="N23" s="219">
        <f t="shared" si="5"/>
        <v>0.13803609738827124</v>
      </c>
      <c r="O23" s="258" t="s">
        <v>344</v>
      </c>
      <c r="P23" s="258" t="str">
        <f>VLOOKUP(B23,DATA!$A$36:$AC$143,29,FALSE)</f>
        <v>'31-03-2020</v>
      </c>
    </row>
    <row r="24" spans="1:16" ht="12.75" x14ac:dyDescent="0.2">
      <c r="A24" s="6" t="s">
        <v>91</v>
      </c>
      <c r="B24" s="7" t="s">
        <v>221</v>
      </c>
      <c r="C24" s="22">
        <f>(VLOOKUP(B24,DATA!A:AT,4,FALSE))/1000000</f>
        <v>2320</v>
      </c>
      <c r="D24" s="22">
        <f>VLOOKUP(B24,DATA!$A$36:$V$133,22,FALSE)/1000000</f>
        <v>1943.496956728</v>
      </c>
      <c r="E24" s="223">
        <f t="shared" si="0"/>
        <v>0.8377142054862069</v>
      </c>
      <c r="F24" s="22">
        <f>(VLOOKUP(B24,DATA!A:AW,24,FALSE))/1</f>
        <v>11.46</v>
      </c>
      <c r="G24" s="22">
        <f>(VLOOKUP(B24,DATA!A:AX,25,FALSE))/1</f>
        <v>12.994</v>
      </c>
      <c r="H24" s="23">
        <f t="shared" si="1"/>
        <v>1.5339999999999989</v>
      </c>
      <c r="I24" s="22">
        <f>(VLOOKUP(B24,DATA!A:AZ,12,FALSE))/1</f>
        <v>7.83</v>
      </c>
      <c r="J24" s="274">
        <v>1806.5812258650001</v>
      </c>
      <c r="K24" s="249">
        <f t="shared" si="2"/>
        <v>7.5787198993747973E-2</v>
      </c>
      <c r="L24" s="24">
        <f t="shared" si="3"/>
        <v>1943.496956728</v>
      </c>
      <c r="M24" s="161">
        <f t="shared" si="4"/>
        <v>0.8377142054862069</v>
      </c>
      <c r="N24" s="219">
        <f t="shared" si="5"/>
        <v>7.5787198993747973E-2</v>
      </c>
      <c r="O24" s="258" t="s">
        <v>344</v>
      </c>
      <c r="P24" s="258" t="str">
        <f>VLOOKUP(B24,DATA!$A$36:$AC$143,29,FALSE)</f>
        <v>'31-03-2020</v>
      </c>
    </row>
    <row r="25" spans="1:16" ht="12.75" x14ac:dyDescent="0.2">
      <c r="A25" s="6" t="s">
        <v>59</v>
      </c>
      <c r="B25" s="7" t="s">
        <v>291</v>
      </c>
      <c r="C25" s="22">
        <f>(VLOOKUP(B25,DATA!A:AT,4,FALSE))/1000000</f>
        <v>1710</v>
      </c>
      <c r="D25" s="22">
        <f>VLOOKUP(B25,DATA!$A$36:$V$133,22,FALSE)/1000000</f>
        <v>1534.6646041900001</v>
      </c>
      <c r="E25" s="223">
        <f t="shared" si="0"/>
        <v>0.89746468081286557</v>
      </c>
      <c r="F25" s="22">
        <f>(VLOOKUP(B25,DATA!A:AW,24,FALSE))/1</f>
        <v>13.226000000000001</v>
      </c>
      <c r="G25" s="22">
        <f>(VLOOKUP(B25,DATA!A:AX,25,FALSE))/1</f>
        <v>22.154</v>
      </c>
      <c r="H25" s="23">
        <f t="shared" si="1"/>
        <v>8.927999999999999</v>
      </c>
      <c r="I25" s="22">
        <f>(VLOOKUP(B25,DATA!A:AZ,12,FALSE))/1</f>
        <v>16.574999999999999</v>
      </c>
      <c r="J25" s="274">
        <v>1520.694808946</v>
      </c>
      <c r="K25" s="249">
        <f t="shared" si="2"/>
        <v>9.1864555345478223E-3</v>
      </c>
      <c r="L25" s="24">
        <f t="shared" si="3"/>
        <v>1534.6646041900001</v>
      </c>
      <c r="M25" s="161">
        <f t="shared" si="4"/>
        <v>0.89746468081286557</v>
      </c>
      <c r="N25" s="219">
        <f t="shared" si="5"/>
        <v>9.1864555345478223E-3</v>
      </c>
      <c r="O25" s="258" t="s">
        <v>344</v>
      </c>
      <c r="P25" s="258" t="str">
        <f>VLOOKUP(B25,DATA!$A$36:$AC$143,29,FALSE)</f>
        <v>'31-03-2020</v>
      </c>
    </row>
    <row r="26" spans="1:16" ht="12.75" x14ac:dyDescent="0.2">
      <c r="A26" s="6" t="s">
        <v>92</v>
      </c>
      <c r="B26" s="7" t="s">
        <v>222</v>
      </c>
      <c r="C26" s="22">
        <f>(VLOOKUP(B26,DATA!A:AT,4,FALSE))/1000000</f>
        <v>610</v>
      </c>
      <c r="D26" s="22">
        <f>VLOOKUP(B26,DATA!$A$36:$V$133,22,FALSE)/1000000</f>
        <v>552.40610835500001</v>
      </c>
      <c r="E26" s="223">
        <f t="shared" si="0"/>
        <v>0.90558378418852459</v>
      </c>
      <c r="F26" s="22">
        <f>(VLOOKUP(B26,DATA!A:AW,24,FALSE))/1</f>
        <v>12.151999999999999</v>
      </c>
      <c r="G26" s="22">
        <f>(VLOOKUP(B26,DATA!A:AX,25,FALSE))/1</f>
        <v>19.800999999999998</v>
      </c>
      <c r="H26" s="23">
        <f t="shared" si="1"/>
        <v>7.6489999999999991</v>
      </c>
      <c r="I26" s="22">
        <f>(VLOOKUP(B26,DATA!A:AZ,12,FALSE))/1</f>
        <v>9.0549999999999997</v>
      </c>
      <c r="J26" s="274">
        <v>790.04873930000008</v>
      </c>
      <c r="K26" s="249">
        <f t="shared" si="2"/>
        <v>-0.30079489925590724</v>
      </c>
      <c r="L26" s="24">
        <f t="shared" si="3"/>
        <v>552.40610835500001</v>
      </c>
      <c r="M26" s="161">
        <f t="shared" si="4"/>
        <v>0.90558378418852459</v>
      </c>
      <c r="N26" s="219">
        <f t="shared" si="5"/>
        <v>-0.30079489925590724</v>
      </c>
      <c r="O26" s="258" t="s">
        <v>344</v>
      </c>
      <c r="P26" s="258" t="str">
        <f>VLOOKUP(B26,DATA!$A$36:$AC$143,29,FALSE)</f>
        <v>'31-03-2020</v>
      </c>
    </row>
    <row r="27" spans="1:16" ht="12.75" x14ac:dyDescent="0.2">
      <c r="A27" s="6" t="s">
        <v>93</v>
      </c>
      <c r="B27" s="7" t="s">
        <v>292</v>
      </c>
      <c r="C27" s="22">
        <f>(VLOOKUP(B27,DATA!A:AT,4,FALSE))/1000000</f>
        <v>1600</v>
      </c>
      <c r="D27" s="22">
        <f>VLOOKUP(B27,DATA!$A$36:$V$133,22,FALSE)/1000000</f>
        <v>1386.0271147579999</v>
      </c>
      <c r="E27" s="223">
        <f t="shared" si="0"/>
        <v>0.86626694672374993</v>
      </c>
      <c r="F27" s="22">
        <f>(VLOOKUP(B27,DATA!A:AW,24,FALSE))/1</f>
        <v>12.667999999999999</v>
      </c>
      <c r="G27" s="22">
        <f>(VLOOKUP(B27,DATA!A:AX,25,FALSE))/1</f>
        <v>19.712</v>
      </c>
      <c r="H27" s="23">
        <f t="shared" si="1"/>
        <v>7.0440000000000005</v>
      </c>
      <c r="I27" s="22">
        <f>(VLOOKUP(B27,DATA!A:AZ,12,FALSE))/1</f>
        <v>7.37</v>
      </c>
      <c r="J27" s="274">
        <v>1428.6406846360001</v>
      </c>
      <c r="K27" s="249">
        <f t="shared" si="2"/>
        <v>-2.9828052873111018E-2</v>
      </c>
      <c r="L27" s="24">
        <f t="shared" si="3"/>
        <v>1386.0271147579999</v>
      </c>
      <c r="M27" s="161">
        <f t="shared" si="4"/>
        <v>0.86626694672374993</v>
      </c>
      <c r="N27" s="219">
        <f t="shared" si="5"/>
        <v>-2.9828052873111018E-2</v>
      </c>
      <c r="O27" s="258" t="s">
        <v>344</v>
      </c>
      <c r="P27" s="258" t="str">
        <f>VLOOKUP(B27,DATA!$A$36:$AC$143,29,FALSE)</f>
        <v>'31-03-2020</v>
      </c>
    </row>
    <row r="28" spans="1:16" ht="12.75" x14ac:dyDescent="0.2">
      <c r="A28" s="6" t="s">
        <v>94</v>
      </c>
      <c r="B28" s="7" t="s">
        <v>223</v>
      </c>
      <c r="C28" s="22">
        <f>(VLOOKUP(B28,DATA!A:AT,4,FALSE))/1000000</f>
        <v>920</v>
      </c>
      <c r="D28" s="22">
        <f>VLOOKUP(B28,DATA!$A$36:$V$133,22,FALSE)/1000000</f>
        <v>1035.2999236200001</v>
      </c>
      <c r="E28" s="223">
        <f t="shared" si="0"/>
        <v>1.1253260039347828</v>
      </c>
      <c r="F28" s="22">
        <f>(VLOOKUP(B28,DATA!A:AW,24,FALSE))/1</f>
        <v>11.167</v>
      </c>
      <c r="G28" s="22">
        <f>(VLOOKUP(B28,DATA!A:AX,25,FALSE))/1</f>
        <v>15.394</v>
      </c>
      <c r="H28" s="23">
        <f t="shared" si="1"/>
        <v>4.2270000000000003</v>
      </c>
      <c r="I28" s="22">
        <f>(VLOOKUP(B28,DATA!A:AZ,12,FALSE))/1</f>
        <v>6.3070000000000004</v>
      </c>
      <c r="J28" s="274">
        <v>543.06638662399996</v>
      </c>
      <c r="K28" s="249">
        <f t="shared" si="2"/>
        <v>0.90639661949249917</v>
      </c>
      <c r="L28" s="24">
        <f t="shared" si="3"/>
        <v>1035.2999236200001</v>
      </c>
      <c r="M28" s="161">
        <f t="shared" si="4"/>
        <v>1.1253260039347828</v>
      </c>
      <c r="N28" s="219">
        <f t="shared" si="5"/>
        <v>0.90639661949249917</v>
      </c>
      <c r="O28" s="258" t="s">
        <v>344</v>
      </c>
      <c r="P28" s="258" t="str">
        <f>VLOOKUP(B28,DATA!$A$36:$AC$143,29,FALSE)</f>
        <v>'31-03-2020</v>
      </c>
    </row>
    <row r="29" spans="1:16" ht="12.75" x14ac:dyDescent="0.2">
      <c r="A29" s="6" t="s">
        <v>60</v>
      </c>
      <c r="B29" s="7" t="s">
        <v>224</v>
      </c>
      <c r="C29" s="22">
        <f>(VLOOKUP(B29,DATA!A:AT,4,FALSE))/1000000</f>
        <v>1020</v>
      </c>
      <c r="D29" s="22">
        <f>VLOOKUP(B29,DATA!$A$36:$V$133,22,FALSE)/1000000</f>
        <v>883.71336153599998</v>
      </c>
      <c r="E29" s="223">
        <f t="shared" si="0"/>
        <v>0.8663856485647059</v>
      </c>
      <c r="F29" s="22">
        <f>(VLOOKUP(B29,DATA!A:AW,24,FALSE))/1</f>
        <v>12.829000000000001</v>
      </c>
      <c r="G29" s="22">
        <f>(VLOOKUP(B29,DATA!A:AX,25,FALSE))/1</f>
        <v>14.097</v>
      </c>
      <c r="H29" s="23">
        <f t="shared" si="1"/>
        <v>1.2679999999999989</v>
      </c>
      <c r="I29" s="22">
        <f>(VLOOKUP(B29,DATA!A:AZ,12,FALSE))/1</f>
        <v>7.8460000000000001</v>
      </c>
      <c r="J29" s="274">
        <v>981.27711587600004</v>
      </c>
      <c r="K29" s="249">
        <f t="shared" si="2"/>
        <v>-9.9425282381015792E-2</v>
      </c>
      <c r="L29" s="24">
        <f t="shared" si="3"/>
        <v>883.71336153599998</v>
      </c>
      <c r="M29" s="161">
        <f t="shared" si="4"/>
        <v>0.8663856485647059</v>
      </c>
      <c r="N29" s="219">
        <f t="shared" si="5"/>
        <v>-9.9425282381015792E-2</v>
      </c>
      <c r="O29" s="258" t="s">
        <v>344</v>
      </c>
      <c r="P29" s="258" t="str">
        <f>VLOOKUP(B29,DATA!$A$36:$AC$143,29,FALSE)</f>
        <v>'31-03-2020</v>
      </c>
    </row>
    <row r="30" spans="1:16" ht="12.75" x14ac:dyDescent="0.2">
      <c r="A30" s="6" t="s">
        <v>61</v>
      </c>
      <c r="B30" s="7" t="s">
        <v>293</v>
      </c>
      <c r="C30" s="22">
        <f>(VLOOKUP(B30,DATA!A:AT,4,FALSE))/1000000</f>
        <v>2120</v>
      </c>
      <c r="D30" s="22">
        <f>VLOOKUP(B30,DATA!$A$36:$V$133,22,FALSE)/1000000</f>
        <v>1789.8426350290001</v>
      </c>
      <c r="E30" s="223">
        <f t="shared" si="0"/>
        <v>0.84426539388160382</v>
      </c>
      <c r="F30" s="22">
        <f>(VLOOKUP(B30,DATA!A:AW,24,FALSE))/1</f>
        <v>11.863</v>
      </c>
      <c r="G30" s="22">
        <f>(VLOOKUP(B30,DATA!A:AX,25,FALSE))/1</f>
        <v>17.882999999999999</v>
      </c>
      <c r="H30" s="23">
        <f t="shared" si="1"/>
        <v>6.02</v>
      </c>
      <c r="I30" s="22">
        <f>(VLOOKUP(B30,DATA!A:AZ,12,FALSE))/1</f>
        <v>7.1449999999999996</v>
      </c>
      <c r="J30" s="274">
        <v>1811.0549978180002</v>
      </c>
      <c r="K30" s="249">
        <f t="shared" si="2"/>
        <v>-1.1712710444772349E-2</v>
      </c>
      <c r="L30" s="24">
        <f t="shared" si="3"/>
        <v>1789.8426350290001</v>
      </c>
      <c r="M30" s="161">
        <f t="shared" si="4"/>
        <v>0.84426539388160382</v>
      </c>
      <c r="N30" s="219">
        <f t="shared" si="5"/>
        <v>-1.1712710444772349E-2</v>
      </c>
      <c r="O30" s="258" t="s">
        <v>344</v>
      </c>
      <c r="P30" s="258" t="str">
        <f>VLOOKUP(B30,DATA!$A$36:$AC$143,29,FALSE)</f>
        <v>'31-03-2020</v>
      </c>
    </row>
    <row r="31" spans="1:16" ht="12.75" x14ac:dyDescent="0.2">
      <c r="A31" s="6" t="s">
        <v>95</v>
      </c>
      <c r="B31" s="7" t="s">
        <v>225</v>
      </c>
      <c r="C31" s="22">
        <f>(VLOOKUP(B31,DATA!A:AT,4,FALSE))/1000000</f>
        <v>1040</v>
      </c>
      <c r="D31" s="22">
        <f>VLOOKUP(B31,DATA!$A$36:$V$133,22,FALSE)/1000000</f>
        <v>887.12755562799998</v>
      </c>
      <c r="E31" s="223">
        <f t="shared" si="0"/>
        <v>0.85300726502692303</v>
      </c>
      <c r="F31" s="22">
        <f>(VLOOKUP(B31,DATA!A:AW,24,FALSE))/1</f>
        <v>11.272</v>
      </c>
      <c r="G31" s="22">
        <f>(VLOOKUP(B31,DATA!A:AX,25,FALSE))/1</f>
        <v>16.187000000000001</v>
      </c>
      <c r="H31" s="23">
        <f t="shared" si="1"/>
        <v>4.9150000000000009</v>
      </c>
      <c r="I31" s="22">
        <f>(VLOOKUP(B31,DATA!A:AZ,12,FALSE))/1</f>
        <v>8.048</v>
      </c>
      <c r="J31" s="274">
        <v>963.07621382699995</v>
      </c>
      <c r="K31" s="249">
        <f t="shared" si="2"/>
        <v>-7.8860485918555587E-2</v>
      </c>
      <c r="L31" s="24">
        <f t="shared" si="3"/>
        <v>887.12755562799998</v>
      </c>
      <c r="M31" s="161">
        <f t="shared" si="4"/>
        <v>0.85300726502692303</v>
      </c>
      <c r="N31" s="219">
        <f t="shared" si="5"/>
        <v>-7.8860485918555587E-2</v>
      </c>
      <c r="O31" s="258" t="s">
        <v>344</v>
      </c>
      <c r="P31" s="258" t="str">
        <f>VLOOKUP(B31,DATA!$A$36:$AC$143,29,FALSE)</f>
        <v>'31-03-2020</v>
      </c>
    </row>
    <row r="32" spans="1:16" ht="12.75" x14ac:dyDescent="0.2">
      <c r="A32" s="6" t="s">
        <v>96</v>
      </c>
      <c r="B32" s="7" t="s">
        <v>254</v>
      </c>
      <c r="C32" s="22">
        <f>(VLOOKUP(B32,DATA!A:AT,4,FALSE))/1000000</f>
        <v>1140</v>
      </c>
      <c r="D32" s="22">
        <f>VLOOKUP(B32,DATA!$A$36:$V$133,22,FALSE)/1000000</f>
        <v>729.42857014999993</v>
      </c>
      <c r="E32" s="223">
        <f t="shared" si="0"/>
        <v>0.63984962293859637</v>
      </c>
      <c r="F32" s="22">
        <f>(VLOOKUP(B32,DATA!A:AW,24,FALSE))/1</f>
        <v>14.175000000000001</v>
      </c>
      <c r="G32" s="22">
        <f>(VLOOKUP(B32,DATA!A:AX,25,FALSE))/1</f>
        <v>17.311</v>
      </c>
      <c r="H32" s="23">
        <f t="shared" si="1"/>
        <v>3.1359999999999992</v>
      </c>
      <c r="I32" s="22">
        <f>(VLOOKUP(B32,DATA!A:AZ,12,FALSE))/1</f>
        <v>10.913</v>
      </c>
      <c r="J32" s="274">
        <v>1062.1269246320001</v>
      </c>
      <c r="K32" s="249">
        <f t="shared" ref="K32:K34" si="8">(D32-J32)/J32</f>
        <v>-0.31323785017244682</v>
      </c>
      <c r="L32" s="24">
        <f t="shared" si="3"/>
        <v>729.42857014999993</v>
      </c>
      <c r="M32" s="161">
        <f t="shared" si="4"/>
        <v>0.63984962293859637</v>
      </c>
      <c r="N32" s="219">
        <f t="shared" si="5"/>
        <v>-0.31323785017244682</v>
      </c>
      <c r="O32" s="258" t="s">
        <v>344</v>
      </c>
      <c r="P32" s="258" t="str">
        <f>VLOOKUP(B32,DATA!$A$36:$AC$143,29,FALSE)</f>
        <v>'31-03-2020</v>
      </c>
    </row>
    <row r="33" spans="1:16" ht="12.75" x14ac:dyDescent="0.2">
      <c r="A33" s="6" t="s">
        <v>97</v>
      </c>
      <c r="B33" s="7" t="s">
        <v>233</v>
      </c>
      <c r="C33" s="22">
        <f>(VLOOKUP(B33,DATA!A:AT,4,FALSE))/1000000</f>
        <v>740</v>
      </c>
      <c r="D33" s="22">
        <f>VLOOKUP(B33,DATA!$A$36:$V$133,22,FALSE)/1000000</f>
        <v>581.618942285</v>
      </c>
      <c r="E33" s="223">
        <f t="shared" si="0"/>
        <v>0.7859715436283784</v>
      </c>
      <c r="F33" s="22">
        <f>(VLOOKUP(B33,DATA!A:AW,24,FALSE))/1</f>
        <v>11.590999999999999</v>
      </c>
      <c r="G33" s="22">
        <f>(VLOOKUP(B33,DATA!A:AX,25,FALSE))/1</f>
        <v>6.7119999999999997</v>
      </c>
      <c r="H33" s="23">
        <f t="shared" si="1"/>
        <v>-4.8789999999999996</v>
      </c>
      <c r="I33" s="22">
        <f>(VLOOKUP(B33,DATA!A:AZ,12,FALSE))/1</f>
        <v>11.446</v>
      </c>
      <c r="J33" s="274">
        <v>660.2583443609999</v>
      </c>
      <c r="K33" s="249">
        <f t="shared" si="8"/>
        <v>-0.11910398823070893</v>
      </c>
      <c r="L33" s="24">
        <f t="shared" si="3"/>
        <v>581.618942285</v>
      </c>
      <c r="M33" s="161">
        <f t="shared" si="4"/>
        <v>0.7859715436283784</v>
      </c>
      <c r="N33" s="219">
        <f t="shared" si="5"/>
        <v>-0.11910398823070893</v>
      </c>
      <c r="O33" s="322" t="s">
        <v>346</v>
      </c>
      <c r="P33" s="258" t="str">
        <f>VLOOKUP(B33,DATA!$A$36:$AC$143,29,FALSE)</f>
        <v>'30-03-2020</v>
      </c>
    </row>
    <row r="34" spans="1:16" ht="12.75" x14ac:dyDescent="0.2">
      <c r="A34" s="6" t="s">
        <v>98</v>
      </c>
      <c r="B34" s="7" t="s">
        <v>294</v>
      </c>
      <c r="C34" s="22">
        <f>(VLOOKUP(B34,DATA!A:AT,4,FALSE))/1000000</f>
        <v>2800</v>
      </c>
      <c r="D34" s="22">
        <f>VLOOKUP(B34,DATA!$A$36:$V$133,22,FALSE)/1000000</f>
        <v>2827.4888980630003</v>
      </c>
      <c r="E34" s="223">
        <f t="shared" si="0"/>
        <v>1.0098174635939288</v>
      </c>
      <c r="F34" s="22">
        <f>(VLOOKUP(B34,DATA!A:AW,24,FALSE))/1</f>
        <v>11.404999999999999</v>
      </c>
      <c r="G34" s="22">
        <f>(VLOOKUP(B34,DATA!A:AX,25,FALSE))/1</f>
        <v>15.936999999999999</v>
      </c>
      <c r="H34" s="23">
        <f t="shared" si="1"/>
        <v>4.532</v>
      </c>
      <c r="I34" s="22">
        <f>(VLOOKUP(B34,DATA!A:AZ,12,FALSE))/1</f>
        <v>9.5169999999999995</v>
      </c>
      <c r="J34" s="274">
        <v>2372.6577521810004</v>
      </c>
      <c r="K34" s="249">
        <f t="shared" si="8"/>
        <v>0.19169690422645611</v>
      </c>
      <c r="L34" s="24">
        <f t="shared" si="3"/>
        <v>2827.4888980630003</v>
      </c>
      <c r="M34" s="161">
        <f t="shared" si="4"/>
        <v>1.0098174635939288</v>
      </c>
      <c r="N34" s="219">
        <f t="shared" si="5"/>
        <v>0.19169690422645611</v>
      </c>
      <c r="O34" s="258" t="s">
        <v>344</v>
      </c>
      <c r="P34" s="258" t="str">
        <f>VLOOKUP(B34,DATA!$A$36:$AC$143,29,FALSE)</f>
        <v>'31-03-2020</v>
      </c>
    </row>
    <row r="35" spans="1:16" ht="12.75" x14ac:dyDescent="0.2">
      <c r="A35" s="6" t="s">
        <v>99</v>
      </c>
      <c r="B35" s="7" t="s">
        <v>255</v>
      </c>
      <c r="C35" s="22">
        <f>(VLOOKUP(B35,DATA!A:AT,4,FALSE))/1000000</f>
        <v>650</v>
      </c>
      <c r="D35" s="22">
        <f>VLOOKUP(B35,DATA!$A$36:$V$133,22,FALSE)/1000000</f>
        <v>705.08337653199999</v>
      </c>
      <c r="E35" s="223">
        <f t="shared" si="0"/>
        <v>1.084743656203077</v>
      </c>
      <c r="F35" s="22">
        <f>(VLOOKUP(B35,DATA!A:AW,24,FALSE))/1</f>
        <v>12.942</v>
      </c>
      <c r="G35" s="22">
        <f>(VLOOKUP(B35,DATA!A:AX,25,FALSE))/1</f>
        <v>30.768000000000001</v>
      </c>
      <c r="H35" s="23">
        <f t="shared" si="1"/>
        <v>17.826000000000001</v>
      </c>
      <c r="I35" s="22">
        <f>(VLOOKUP(B35,DATA!A:AZ,12,FALSE))/1</f>
        <v>26.785</v>
      </c>
      <c r="J35" s="274">
        <v>526.95777892199999</v>
      </c>
      <c r="K35" s="249">
        <f t="shared" si="2"/>
        <v>0.33802631773344799</v>
      </c>
      <c r="L35" s="24">
        <f t="shared" si="3"/>
        <v>705.08337653199999</v>
      </c>
      <c r="M35" s="161">
        <f t="shared" si="4"/>
        <v>1.084743656203077</v>
      </c>
      <c r="N35" s="219">
        <f t="shared" si="5"/>
        <v>0.33802631773344799</v>
      </c>
      <c r="O35" s="322" t="s">
        <v>346</v>
      </c>
      <c r="P35" s="258" t="str">
        <f>VLOOKUP(B35,DATA!$A$36:$AC$143,29,FALSE)</f>
        <v>'30-03-2020</v>
      </c>
    </row>
    <row r="36" spans="1:16" ht="12.75" x14ac:dyDescent="0.2">
      <c r="A36" s="6" t="s">
        <v>100</v>
      </c>
      <c r="B36" s="7" t="s">
        <v>226</v>
      </c>
      <c r="C36" s="22">
        <f>(VLOOKUP(B36,DATA!A:AT,4,FALSE))/1000000</f>
        <v>1060.0999999999999</v>
      </c>
      <c r="D36" s="22">
        <f>VLOOKUP(B36,DATA!$A$36:$V$133,22,FALSE)/1000000</f>
        <v>1085.904062736</v>
      </c>
      <c r="E36" s="223">
        <f t="shared" si="0"/>
        <v>1.0243411590755591</v>
      </c>
      <c r="F36" s="22">
        <f>(VLOOKUP(B36,DATA!A:AW,24,FALSE))/1</f>
        <v>11.792</v>
      </c>
      <c r="G36" s="22">
        <f>(VLOOKUP(B36,DATA!A:AX,25,FALSE))/1</f>
        <v>-5.6470000000000002</v>
      </c>
      <c r="H36" s="23">
        <f t="shared" si="1"/>
        <v>-17.439</v>
      </c>
      <c r="I36" s="22">
        <f>(VLOOKUP(B36,DATA!A:AZ,12,FALSE))/1</f>
        <v>8.1080000000000005</v>
      </c>
      <c r="J36" s="274">
        <v>857.71955275900007</v>
      </c>
      <c r="K36" s="249">
        <f t="shared" si="2"/>
        <v>0.26603626936450947</v>
      </c>
      <c r="L36" s="24">
        <f t="shared" si="3"/>
        <v>1085.904062736</v>
      </c>
      <c r="M36" s="161">
        <f t="shared" si="4"/>
        <v>1.0243411590755591</v>
      </c>
      <c r="N36" s="219">
        <f t="shared" si="5"/>
        <v>0.26603626936450947</v>
      </c>
      <c r="O36" s="258" t="s">
        <v>344</v>
      </c>
      <c r="P36" s="258" t="str">
        <f>VLOOKUP(B36,DATA!$A$36:$AC$143,29,FALSE)</f>
        <v>'31-03-2020</v>
      </c>
    </row>
    <row r="37" spans="1:16" ht="12.75" x14ac:dyDescent="0.2">
      <c r="A37" s="6" t="s">
        <v>101</v>
      </c>
      <c r="B37" s="7" t="s">
        <v>256</v>
      </c>
      <c r="C37" s="22">
        <f>(VLOOKUP(B37,DATA!A:AT,4,FALSE))/1000000</f>
        <v>1190</v>
      </c>
      <c r="D37" s="22">
        <f>VLOOKUP(B37,DATA!$A$36:$V$133,22,FALSE)/1000000</f>
        <v>857.89339160700001</v>
      </c>
      <c r="E37" s="223">
        <f t="shared" si="0"/>
        <v>0.7209188164764706</v>
      </c>
      <c r="F37" s="22">
        <f>(VLOOKUP(B37,DATA!A:AW,24,FALSE))/1</f>
        <v>17.896999999999998</v>
      </c>
      <c r="G37" s="22">
        <f>(VLOOKUP(B37,DATA!A:AX,25,FALSE))/1</f>
        <v>18.628</v>
      </c>
      <c r="H37" s="23">
        <f t="shared" si="1"/>
        <v>0.73100000000000165</v>
      </c>
      <c r="I37" s="22">
        <f>(VLOOKUP(B37,DATA!A:AZ,12,FALSE))/1</f>
        <v>9.4550000000000001</v>
      </c>
      <c r="J37" s="274">
        <v>1234.8149729380002</v>
      </c>
      <c r="K37" s="249">
        <f t="shared" si="2"/>
        <v>-0.30524539270380663</v>
      </c>
      <c r="L37" s="24">
        <f t="shared" si="3"/>
        <v>857.89339160700001</v>
      </c>
      <c r="M37" s="161">
        <f t="shared" si="4"/>
        <v>0.7209188164764706</v>
      </c>
      <c r="N37" s="219">
        <f t="shared" si="5"/>
        <v>-0.30524539270380663</v>
      </c>
      <c r="O37" s="258" t="s">
        <v>344</v>
      </c>
      <c r="P37" s="258" t="str">
        <f>VLOOKUP(B37,DATA!$A$36:$AC$143,29,FALSE)</f>
        <v>'31-03-2020</v>
      </c>
    </row>
    <row r="38" spans="1:16" ht="12.75" x14ac:dyDescent="0.2">
      <c r="A38" s="6" t="s">
        <v>102</v>
      </c>
      <c r="B38" s="7" t="s">
        <v>257</v>
      </c>
      <c r="C38" s="22">
        <f>(VLOOKUP(B38,DATA!A:AT,4,FALSE))/1000000</f>
        <v>990</v>
      </c>
      <c r="D38" s="22">
        <f>VLOOKUP(B38,DATA!$A$36:$V$133,22,FALSE)/1000000</f>
        <v>784.45237316199996</v>
      </c>
      <c r="E38" s="223">
        <f t="shared" si="0"/>
        <v>0.79237613450707067</v>
      </c>
      <c r="F38" s="22">
        <f>(VLOOKUP(B38,DATA!A:AW,24,FALSE))/1</f>
        <v>12.92</v>
      </c>
      <c r="G38" s="22">
        <f>(VLOOKUP(B38,DATA!A:AX,25,FALSE))/1</f>
        <v>10.327999999999999</v>
      </c>
      <c r="H38" s="23">
        <f t="shared" si="1"/>
        <v>-2.5920000000000005</v>
      </c>
      <c r="I38" s="22">
        <f>(VLOOKUP(B38,DATA!A:AZ,12,FALSE))/1</f>
        <v>11.273</v>
      </c>
      <c r="J38" s="274">
        <v>1404.970931308</v>
      </c>
      <c r="K38" s="249">
        <f t="shared" si="2"/>
        <v>-0.44165935701481712</v>
      </c>
      <c r="L38" s="24">
        <f t="shared" si="3"/>
        <v>784.45237316199996</v>
      </c>
      <c r="M38" s="161">
        <f t="shared" si="4"/>
        <v>0.79237613450707067</v>
      </c>
      <c r="N38" s="219">
        <f t="shared" si="5"/>
        <v>-0.44165935701481712</v>
      </c>
      <c r="O38" s="258" t="s">
        <v>344</v>
      </c>
      <c r="P38" s="258" t="str">
        <f>VLOOKUP(B38,DATA!$A$36:$AC$143,29,FALSE)</f>
        <v>'31-03-2020</v>
      </c>
    </row>
    <row r="39" spans="1:16" ht="12.75" x14ac:dyDescent="0.2">
      <c r="A39" s="6" t="s">
        <v>103</v>
      </c>
      <c r="B39" s="7" t="s">
        <v>258</v>
      </c>
      <c r="C39" s="22">
        <f>(VLOOKUP(B39,DATA!A:AT,4,FALSE))/1000000</f>
        <v>810</v>
      </c>
      <c r="D39" s="22">
        <f>VLOOKUP(B39,DATA!$A$36:$V$133,22,FALSE)/1000000</f>
        <v>461.75683136100002</v>
      </c>
      <c r="E39" s="223">
        <f t="shared" si="0"/>
        <v>0.57007016217407414</v>
      </c>
      <c r="F39" s="22">
        <f>(VLOOKUP(B39,DATA!A:AW,24,FALSE))/1</f>
        <v>18.79</v>
      </c>
      <c r="G39" s="22">
        <f>(VLOOKUP(B39,DATA!A:AX,25,FALSE))/1</f>
        <v>16.295999999999999</v>
      </c>
      <c r="H39" s="23">
        <f t="shared" si="1"/>
        <v>-2.4939999999999998</v>
      </c>
      <c r="I39" s="22">
        <f>(VLOOKUP(B39,DATA!A:AZ,12,FALSE))/1</f>
        <v>14.781000000000001</v>
      </c>
      <c r="J39" s="274">
        <v>768.46658545799994</v>
      </c>
      <c r="K39" s="249">
        <f t="shared" si="2"/>
        <v>-0.39911918084792636</v>
      </c>
      <c r="L39" s="24">
        <f t="shared" si="3"/>
        <v>461.75683136100002</v>
      </c>
      <c r="M39" s="161">
        <f t="shared" si="4"/>
        <v>0.57007016217407414</v>
      </c>
      <c r="N39" s="219">
        <f t="shared" si="5"/>
        <v>-0.39911918084792636</v>
      </c>
      <c r="O39" s="322" t="s">
        <v>338</v>
      </c>
      <c r="P39" s="258" t="str">
        <f>VLOOKUP(B39,DATA!$A$36:$AC$143,29,FALSE)</f>
        <v>'29-03-2020</v>
      </c>
    </row>
    <row r="40" spans="1:16" ht="12.75" x14ac:dyDescent="0.2">
      <c r="A40" s="6" t="s">
        <v>62</v>
      </c>
      <c r="B40" s="7" t="s">
        <v>259</v>
      </c>
      <c r="C40" s="22">
        <f>(VLOOKUP(B40,DATA!A:AT,4,FALSE))/1000000</f>
        <v>769.9</v>
      </c>
      <c r="D40" s="22">
        <f>VLOOKUP(B40,DATA!$A$36:$V$133,22,FALSE)/1000000</f>
        <v>620.48143514200001</v>
      </c>
      <c r="E40" s="223">
        <f t="shared" si="0"/>
        <v>0.80592471118586828</v>
      </c>
      <c r="F40" s="22">
        <f>(VLOOKUP(B40,DATA!A:AW,24,FALSE))/1</f>
        <v>13.005000000000001</v>
      </c>
      <c r="G40" s="22">
        <f>(VLOOKUP(B40,DATA!A:AX,25,FALSE))/1</f>
        <v>8.8510000000000009</v>
      </c>
      <c r="H40" s="23">
        <f t="shared" si="1"/>
        <v>-4.1539999999999999</v>
      </c>
      <c r="I40" s="22">
        <f>(VLOOKUP(B40,DATA!A:AZ,12,FALSE))/1</f>
        <v>10.231</v>
      </c>
      <c r="J40" s="274">
        <v>667.24057774599999</v>
      </c>
      <c r="K40" s="249">
        <f t="shared" si="2"/>
        <v>-7.0078385762983211E-2</v>
      </c>
      <c r="L40" s="24">
        <f t="shared" si="3"/>
        <v>620.48143514200001</v>
      </c>
      <c r="M40" s="161">
        <f t="shared" si="4"/>
        <v>0.80592471118586828</v>
      </c>
      <c r="N40" s="219">
        <f t="shared" si="5"/>
        <v>-7.0078385762983211E-2</v>
      </c>
      <c r="O40" s="322" t="s">
        <v>346</v>
      </c>
      <c r="P40" s="258" t="str">
        <f>VLOOKUP(B40,DATA!$A$36:$AC$143,29,FALSE)</f>
        <v>'30-03-2020</v>
      </c>
    </row>
    <row r="41" spans="1:16" ht="12.75" x14ac:dyDescent="0.2">
      <c r="A41" s="6" t="s">
        <v>104</v>
      </c>
      <c r="B41" s="7" t="s">
        <v>260</v>
      </c>
      <c r="C41" s="22">
        <f>(VLOOKUP(B41,DATA!A:AT,4,FALSE))/1000000</f>
        <v>880</v>
      </c>
      <c r="D41" s="22">
        <f>VLOOKUP(B41,DATA!$A$36:$V$133,22,FALSE)/1000000</f>
        <v>799.48501923399999</v>
      </c>
      <c r="E41" s="223">
        <f t="shared" si="0"/>
        <v>0.90850570367499994</v>
      </c>
      <c r="F41" s="22">
        <f>(VLOOKUP(B41,DATA!A:AW,24,FALSE))/1</f>
        <v>15.266</v>
      </c>
      <c r="G41" s="22">
        <f>(VLOOKUP(B41,DATA!A:AX,25,FALSE))/1</f>
        <v>20.606999999999999</v>
      </c>
      <c r="H41" s="23">
        <f t="shared" si="1"/>
        <v>5.3409999999999993</v>
      </c>
      <c r="I41" s="22">
        <f>(VLOOKUP(B41,DATA!A:AZ,12,FALSE))/1</f>
        <v>13.147</v>
      </c>
      <c r="J41" s="274">
        <v>1028.0244759090001</v>
      </c>
      <c r="K41" s="249">
        <f t="shared" si="2"/>
        <v>-0.22230935355203571</v>
      </c>
      <c r="L41" s="24">
        <f t="shared" si="3"/>
        <v>799.48501923399999</v>
      </c>
      <c r="M41" s="161">
        <f t="shared" si="4"/>
        <v>0.90850570367499994</v>
      </c>
      <c r="N41" s="219">
        <f t="shared" si="5"/>
        <v>-0.22230935355203571</v>
      </c>
      <c r="O41" s="258" t="s">
        <v>344</v>
      </c>
      <c r="P41" s="258" t="str">
        <f>VLOOKUP(B41,DATA!$A$36:$AC$143,29,FALSE)</f>
        <v>'31-03-2020</v>
      </c>
    </row>
    <row r="42" spans="1:16" ht="12.75" x14ac:dyDescent="0.2">
      <c r="A42" s="6" t="s">
        <v>105</v>
      </c>
      <c r="B42" s="7" t="s">
        <v>303</v>
      </c>
      <c r="C42" s="22">
        <f>(VLOOKUP(B42,DATA!A:AT,4,FALSE))/1000000</f>
        <v>2310</v>
      </c>
      <c r="D42" s="22">
        <f>VLOOKUP(B42,DATA!$A$36:$V$133,22,FALSE)/1000000</f>
        <v>1952.1940922890001</v>
      </c>
      <c r="E42" s="223">
        <f t="shared" si="0"/>
        <v>0.84510566765757578</v>
      </c>
      <c r="F42" s="22">
        <f>(VLOOKUP(B42,DATA!A:AW,24,FALSE))/1</f>
        <v>18.082999999999998</v>
      </c>
      <c r="G42" s="22">
        <f>(VLOOKUP(B42,DATA!A:AX,25,FALSE))/1</f>
        <v>23.210999999999999</v>
      </c>
      <c r="H42" s="23">
        <f t="shared" si="1"/>
        <v>5.1280000000000001</v>
      </c>
      <c r="I42" s="22">
        <f>(VLOOKUP(B42,DATA!A:AZ,12,FALSE))/1</f>
        <v>10.666</v>
      </c>
      <c r="J42" s="274">
        <v>2716.4626114940002</v>
      </c>
      <c r="K42" s="249">
        <f t="shared" si="2"/>
        <v>-0.28134696791746661</v>
      </c>
      <c r="L42" s="24">
        <f t="shared" si="3"/>
        <v>1952.1940922890001</v>
      </c>
      <c r="M42" s="161">
        <f t="shared" si="4"/>
        <v>0.84510566765757578</v>
      </c>
      <c r="N42" s="219">
        <f t="shared" si="5"/>
        <v>-0.28134696791746661</v>
      </c>
      <c r="O42" s="258" t="s">
        <v>344</v>
      </c>
      <c r="P42" s="258" t="str">
        <f>VLOOKUP(B42,DATA!$A$36:$AC$143,29,FALSE)</f>
        <v>'31-03-2020</v>
      </c>
    </row>
    <row r="43" spans="1:16" ht="12.75" x14ac:dyDescent="0.2">
      <c r="A43" s="6" t="s">
        <v>106</v>
      </c>
      <c r="B43" s="7" t="s">
        <v>261</v>
      </c>
      <c r="C43" s="22">
        <f>(VLOOKUP(B43,DATA!A:AT,4,FALSE))/1000000</f>
        <v>690</v>
      </c>
      <c r="D43" s="22">
        <f>VLOOKUP(B43,DATA!$A$36:$V$133,22,FALSE)/1000000</f>
        <v>724.29677236500004</v>
      </c>
      <c r="E43" s="223">
        <f t="shared" si="0"/>
        <v>1.0497054671956523</v>
      </c>
      <c r="F43" s="22">
        <f>(VLOOKUP(B43,DATA!A:AW,24,FALSE))/1</f>
        <v>14.009</v>
      </c>
      <c r="G43" s="22">
        <f>(VLOOKUP(B43,DATA!A:AX,25,FALSE))/1</f>
        <v>11.206</v>
      </c>
      <c r="H43" s="23">
        <f t="shared" si="1"/>
        <v>-2.8030000000000008</v>
      </c>
      <c r="I43" s="22">
        <f>(VLOOKUP(B43,DATA!A:AZ,12,FALSE))/1</f>
        <v>6.673</v>
      </c>
      <c r="J43" s="274">
        <v>572.03787365300002</v>
      </c>
      <c r="K43" s="249">
        <f t="shared" si="2"/>
        <v>0.26616926207994535</v>
      </c>
      <c r="L43" s="24">
        <f t="shared" si="3"/>
        <v>724.29677236500004</v>
      </c>
      <c r="M43" s="161">
        <f t="shared" si="4"/>
        <v>1.0497054671956523</v>
      </c>
      <c r="N43" s="219">
        <f t="shared" si="5"/>
        <v>0.26616926207994535</v>
      </c>
      <c r="O43" s="322" t="s">
        <v>346</v>
      </c>
      <c r="P43" s="258" t="str">
        <f>VLOOKUP(B43,DATA!$A$36:$AC$143,29,FALSE)</f>
        <v>'30-03-2020</v>
      </c>
    </row>
    <row r="44" spans="1:16" ht="12.75" x14ac:dyDescent="0.2">
      <c r="A44" s="6" t="s">
        <v>107</v>
      </c>
      <c r="B44" s="7" t="s">
        <v>262</v>
      </c>
      <c r="C44" s="22">
        <f>(VLOOKUP(B44,DATA!A:AT,4,FALSE))/1000000</f>
        <v>630</v>
      </c>
      <c r="D44" s="22">
        <f>VLOOKUP(B44,DATA!$A$36:$V$133,22,FALSE)/1000000</f>
        <v>577.33419243700007</v>
      </c>
      <c r="E44" s="223">
        <f t="shared" si="0"/>
        <v>0.91640348005873029</v>
      </c>
      <c r="F44" s="22">
        <f>(VLOOKUP(B44,DATA!A:AW,24,FALSE))/1</f>
        <v>12.208</v>
      </c>
      <c r="G44" s="22">
        <f>(VLOOKUP(B44,DATA!A:AX,25,FALSE))/1</f>
        <v>14.121</v>
      </c>
      <c r="H44" s="23">
        <f t="shared" si="1"/>
        <v>1.9130000000000003</v>
      </c>
      <c r="I44" s="22">
        <f>(VLOOKUP(B44,DATA!A:AZ,12,FALSE))/1</f>
        <v>12.269</v>
      </c>
      <c r="J44" s="274">
        <v>721.85565616299994</v>
      </c>
      <c r="K44" s="249">
        <f t="shared" si="2"/>
        <v>-0.20020825838533837</v>
      </c>
      <c r="L44" s="24">
        <f t="shared" si="3"/>
        <v>577.33419243700007</v>
      </c>
      <c r="M44" s="161">
        <f t="shared" si="4"/>
        <v>0.91640348005873029</v>
      </c>
      <c r="N44" s="219">
        <f t="shared" si="5"/>
        <v>-0.20020825838533837</v>
      </c>
      <c r="O44" s="258" t="s">
        <v>344</v>
      </c>
      <c r="P44" s="258" t="str">
        <f>VLOOKUP(B44,DATA!$A$36:$AC$143,29,FALSE)</f>
        <v>'31-03-2020</v>
      </c>
    </row>
    <row r="45" spans="1:16" ht="12.75" x14ac:dyDescent="0.2">
      <c r="A45" s="6" t="s">
        <v>108</v>
      </c>
      <c r="B45" s="7" t="s">
        <v>227</v>
      </c>
      <c r="C45" s="22">
        <f>(VLOOKUP(B45,DATA!A:AT,4,FALSE))/1000000</f>
        <v>820</v>
      </c>
      <c r="D45" s="22">
        <f>VLOOKUP(B45,DATA!$A$36:$V$133,22,FALSE)/1000000</f>
        <v>607.56349791199989</v>
      </c>
      <c r="E45" s="223">
        <f t="shared" si="0"/>
        <v>0.74093109501463406</v>
      </c>
      <c r="F45" s="22">
        <f>(VLOOKUP(B45,DATA!A:AW,24,FALSE))/1</f>
        <v>11.516999999999999</v>
      </c>
      <c r="G45" s="22">
        <f>(VLOOKUP(B45,DATA!A:AX,25,FALSE))/1</f>
        <v>-13.711</v>
      </c>
      <c r="H45" s="23">
        <f t="shared" si="1"/>
        <v>-25.228000000000002</v>
      </c>
      <c r="I45" s="22">
        <f>(VLOOKUP(B45,DATA!A:AZ,12,FALSE))/1</f>
        <v>8.5090000000000003</v>
      </c>
      <c r="J45" s="274">
        <v>685.06485017200009</v>
      </c>
      <c r="K45" s="249">
        <f t="shared" si="2"/>
        <v>-0.11312995001939137</v>
      </c>
      <c r="L45" s="24">
        <f t="shared" si="3"/>
        <v>607.56349791199989</v>
      </c>
      <c r="M45" s="161">
        <f t="shared" si="4"/>
        <v>0.74093109501463406</v>
      </c>
      <c r="N45" s="219">
        <f t="shared" si="5"/>
        <v>-0.11312995001939137</v>
      </c>
      <c r="O45" s="322" t="s">
        <v>346</v>
      </c>
      <c r="P45" s="258" t="str">
        <f>VLOOKUP(B45,DATA!$A$36:$AC$143,29,FALSE)</f>
        <v>'30-03-2020</v>
      </c>
    </row>
    <row r="46" spans="1:16" ht="12.75" x14ac:dyDescent="0.2">
      <c r="A46" s="6" t="s">
        <v>110</v>
      </c>
      <c r="B46" s="7" t="s">
        <v>295</v>
      </c>
      <c r="C46" s="22">
        <f>(VLOOKUP(B46,DATA!A:AT,4,FALSE))/1000000</f>
        <v>2560</v>
      </c>
      <c r="D46" s="22">
        <f>VLOOKUP(B46,DATA!$A$36:$V$133,22,FALSE)/1000000</f>
        <v>1936.4613411830001</v>
      </c>
      <c r="E46" s="223">
        <f t="shared" si="0"/>
        <v>0.75643021139960942</v>
      </c>
      <c r="F46" s="22">
        <f>(VLOOKUP(B46,DATA!A:AW,24,FALSE))/1</f>
        <v>10.686999999999999</v>
      </c>
      <c r="G46" s="22">
        <f>(VLOOKUP(B46,DATA!A:AX,25,FALSE))/1</f>
        <v>21.050999999999998</v>
      </c>
      <c r="H46" s="23">
        <f t="shared" si="1"/>
        <v>10.363999999999999</v>
      </c>
      <c r="I46" s="22">
        <f>(VLOOKUP(B46,DATA!A:AZ,12,FALSE))/1</f>
        <v>7.4420000000000002</v>
      </c>
      <c r="J46" s="274">
        <v>2126.6403172680002</v>
      </c>
      <c r="K46" s="249">
        <f t="shared" si="2"/>
        <v>-8.9426958823631539E-2</v>
      </c>
      <c r="L46" s="24">
        <f t="shared" si="3"/>
        <v>1936.4613411830001</v>
      </c>
      <c r="M46" s="161">
        <f t="shared" si="4"/>
        <v>0.75643021139960942</v>
      </c>
      <c r="N46" s="219">
        <f t="shared" si="5"/>
        <v>-8.9426958823631539E-2</v>
      </c>
      <c r="O46" s="322" t="s">
        <v>339</v>
      </c>
      <c r="P46" s="258" t="str">
        <f>VLOOKUP(B46,DATA!$A$36:$AC$143,29,FALSE)</f>
        <v>'27-03-2020</v>
      </c>
    </row>
    <row r="47" spans="1:16" ht="12.75" x14ac:dyDescent="0.2">
      <c r="A47" s="6" t="s">
        <v>111</v>
      </c>
      <c r="B47" s="7" t="s">
        <v>296</v>
      </c>
      <c r="C47" s="22">
        <f>(VLOOKUP(B47,DATA!A:AT,4,FALSE))/1000000</f>
        <v>1700</v>
      </c>
      <c r="D47" s="22">
        <f>VLOOKUP(B47,DATA!$A$36:$V$133,22,FALSE)/1000000</f>
        <v>1105.096933951</v>
      </c>
      <c r="E47" s="223">
        <f t="shared" si="0"/>
        <v>0.65005701997117649</v>
      </c>
      <c r="F47" s="22">
        <f>(VLOOKUP(B47,DATA!A:AW,24,FALSE))/1</f>
        <v>13.215</v>
      </c>
      <c r="G47" s="22">
        <f>(VLOOKUP(B47,DATA!A:AX,25,FALSE))/1</f>
        <v>16.62</v>
      </c>
      <c r="H47" s="23">
        <f t="shared" si="1"/>
        <v>3.4050000000000011</v>
      </c>
      <c r="I47" s="22">
        <f>(VLOOKUP(B47,DATA!A:AZ,12,FALSE))/1</f>
        <v>7.117</v>
      </c>
      <c r="J47" s="274">
        <v>1625.557071939</v>
      </c>
      <c r="K47" s="249">
        <f t="shared" si="2"/>
        <v>-0.32017340207390182</v>
      </c>
      <c r="L47" s="24">
        <f t="shared" si="3"/>
        <v>1105.096933951</v>
      </c>
      <c r="M47" s="161">
        <f t="shared" si="4"/>
        <v>0.65005701997117649</v>
      </c>
      <c r="N47" s="219">
        <f t="shared" si="5"/>
        <v>-0.32017340207390182</v>
      </c>
      <c r="O47" s="258" t="s">
        <v>344</v>
      </c>
      <c r="P47" s="258" t="str">
        <f>VLOOKUP(B47,DATA!$A$36:$AC$143,29,FALSE)</f>
        <v>'31-03-2020</v>
      </c>
    </row>
    <row r="48" spans="1:16" ht="12.75" x14ac:dyDescent="0.2">
      <c r="A48" s="6" t="s">
        <v>112</v>
      </c>
      <c r="B48" s="7" t="s">
        <v>297</v>
      </c>
      <c r="C48" s="22">
        <f>(VLOOKUP(B48,DATA!A:AT,4,FALSE))/1000000</f>
        <v>1350</v>
      </c>
      <c r="D48" s="22">
        <f>VLOOKUP(B48,DATA!$A$36:$V$133,22,FALSE)/1000000</f>
        <v>1168.1763058490001</v>
      </c>
      <c r="E48" s="223">
        <f t="shared" si="0"/>
        <v>0.86531578211037041</v>
      </c>
      <c r="F48" s="22">
        <f>(VLOOKUP(B48,DATA!A:AW,24,FALSE))/1</f>
        <v>12.281000000000001</v>
      </c>
      <c r="G48" s="22">
        <f>(VLOOKUP(B48,DATA!A:AX,25,FALSE))/1</f>
        <v>-12.457000000000001</v>
      </c>
      <c r="H48" s="23">
        <f t="shared" si="1"/>
        <v>-24.738</v>
      </c>
      <c r="I48" s="22">
        <f>(VLOOKUP(B48,DATA!A:AZ,12,FALSE))/1</f>
        <v>13.776</v>
      </c>
      <c r="J48" s="274">
        <v>1205.895577711</v>
      </c>
      <c r="K48" s="249">
        <f t="shared" si="2"/>
        <v>-3.1279053144549769E-2</v>
      </c>
      <c r="L48" s="24">
        <f t="shared" si="3"/>
        <v>1168.1763058490001</v>
      </c>
      <c r="M48" s="161">
        <f t="shared" si="4"/>
        <v>0.86531578211037041</v>
      </c>
      <c r="N48" s="219">
        <f t="shared" si="5"/>
        <v>-3.1279053144549769E-2</v>
      </c>
      <c r="O48" s="258" t="s">
        <v>344</v>
      </c>
      <c r="P48" s="258" t="str">
        <f>VLOOKUP(B48,DATA!$A$36:$AC$143,29,FALSE)</f>
        <v>'31-03-2020</v>
      </c>
    </row>
    <row r="49" spans="1:16" ht="12.75" x14ac:dyDescent="0.2">
      <c r="A49" s="6" t="s">
        <v>63</v>
      </c>
      <c r="B49" s="7" t="s">
        <v>336</v>
      </c>
      <c r="C49" s="22">
        <f>(VLOOKUP(B49,DATA!A:AT,4,FALSE))/1000000</f>
        <v>920</v>
      </c>
      <c r="D49" s="22">
        <f>VLOOKUP(B49,DATA!$A$36:$V$133,22,FALSE)/1000000</f>
        <v>622.90202826300003</v>
      </c>
      <c r="E49" s="223">
        <f t="shared" si="0"/>
        <v>0.67706742202500003</v>
      </c>
      <c r="F49" s="22">
        <f>(VLOOKUP(B49,DATA!A:AW,24,FALSE))/1</f>
        <v>15.003</v>
      </c>
      <c r="G49" s="22">
        <f>(VLOOKUP(B49,DATA!A:AX,25,FALSE))/1</f>
        <v>16.414999999999999</v>
      </c>
      <c r="H49" s="23">
        <f t="shared" si="1"/>
        <v>1.411999999999999</v>
      </c>
      <c r="I49" s="22">
        <f>(VLOOKUP(B49,DATA!A:AZ,12,FALSE))/1</f>
        <v>7.4020000000000001</v>
      </c>
      <c r="J49" s="274">
        <v>809.01509982000005</v>
      </c>
      <c r="K49" s="249">
        <f t="shared" si="2"/>
        <v>-0.23004894667405937</v>
      </c>
      <c r="L49" s="24">
        <f t="shared" si="3"/>
        <v>622.90202826300003</v>
      </c>
      <c r="M49" s="161">
        <f t="shared" si="4"/>
        <v>0.67706742202500003</v>
      </c>
      <c r="N49" s="219">
        <f t="shared" si="5"/>
        <v>-0.23004894667405937</v>
      </c>
      <c r="O49" s="322" t="s">
        <v>346</v>
      </c>
      <c r="P49" s="258" t="str">
        <f>VLOOKUP(B49,DATA!$A$36:$AC$143,29,FALSE)</f>
        <v>'30-03-2020</v>
      </c>
    </row>
    <row r="50" spans="1:16" ht="12.75" x14ac:dyDescent="0.2">
      <c r="A50" s="6" t="s">
        <v>113</v>
      </c>
      <c r="B50" s="7" t="s">
        <v>308</v>
      </c>
      <c r="C50" s="22">
        <f>(VLOOKUP(B50,DATA!A:AT,4,FALSE))/1000000</f>
        <v>1560</v>
      </c>
      <c r="D50" s="22">
        <f>VLOOKUP(B50,DATA!$A$36:$V$133,22,FALSE)/1000000</f>
        <v>1148.2654297270001</v>
      </c>
      <c r="E50" s="223">
        <f t="shared" si="0"/>
        <v>0.73606758315833343</v>
      </c>
      <c r="F50" s="22">
        <f>(VLOOKUP(B50,DATA!A:AW,24,FALSE))/1</f>
        <v>15.555</v>
      </c>
      <c r="G50" s="22">
        <f>(VLOOKUP(B50,DATA!A:AX,25,FALSE))/1</f>
        <v>16.542999999999999</v>
      </c>
      <c r="H50" s="23">
        <f t="shared" si="1"/>
        <v>0.98799999999999955</v>
      </c>
      <c r="I50" s="22">
        <f>(VLOOKUP(B50,DATA!A:AZ,12,FALSE))/1</f>
        <v>9.6020000000000003</v>
      </c>
      <c r="J50" s="274">
        <v>1295.1434662769998</v>
      </c>
      <c r="K50" s="249">
        <f t="shared" si="2"/>
        <v>-0.11340676950038063</v>
      </c>
      <c r="L50" s="24">
        <f t="shared" si="3"/>
        <v>1148.2654297270001</v>
      </c>
      <c r="M50" s="161">
        <f t="shared" si="4"/>
        <v>0.73606758315833343</v>
      </c>
      <c r="N50" s="219">
        <f t="shared" si="5"/>
        <v>-0.11340676950038063</v>
      </c>
      <c r="O50" s="322" t="s">
        <v>341</v>
      </c>
      <c r="P50" s="258" t="str">
        <f>VLOOKUP(B50,DATA!$A$36:$AC$143,29,FALSE)</f>
        <v>'28-03-2020</v>
      </c>
    </row>
    <row r="51" spans="1:16" ht="12.75" x14ac:dyDescent="0.2">
      <c r="A51" s="6" t="s">
        <v>114</v>
      </c>
      <c r="B51" s="7" t="s">
        <v>263</v>
      </c>
      <c r="C51" s="22">
        <f>(VLOOKUP(B51,DATA!A:AT,4,FALSE))/1000000</f>
        <v>940</v>
      </c>
      <c r="D51" s="22">
        <f>VLOOKUP(B51,DATA!$A$36:$V$133,22,FALSE)/1000000</f>
        <v>844.90687461800007</v>
      </c>
      <c r="E51" s="223">
        <f t="shared" si="0"/>
        <v>0.89883710065744693</v>
      </c>
      <c r="F51" s="22">
        <f>(VLOOKUP(B51,DATA!A:AW,24,FALSE))/1</f>
        <v>13.612</v>
      </c>
      <c r="G51" s="22">
        <f>(VLOOKUP(B51,DATA!A:AX,25,FALSE))/1</f>
        <v>15.026</v>
      </c>
      <c r="H51" s="23">
        <f t="shared" si="1"/>
        <v>1.4139999999999997</v>
      </c>
      <c r="I51" s="22">
        <f>(VLOOKUP(B51,DATA!A:AZ,12,FALSE))/1</f>
        <v>15.622999999999999</v>
      </c>
      <c r="J51" s="274">
        <v>1072.2061327490001</v>
      </c>
      <c r="K51" s="249">
        <f t="shared" si="2"/>
        <v>-0.2119921265029828</v>
      </c>
      <c r="L51" s="24">
        <f t="shared" si="3"/>
        <v>844.90687461800007</v>
      </c>
      <c r="M51" s="161">
        <f t="shared" si="4"/>
        <v>0.89883710065744693</v>
      </c>
      <c r="N51" s="219">
        <f t="shared" si="5"/>
        <v>-0.2119921265029828</v>
      </c>
      <c r="O51" s="258" t="s">
        <v>344</v>
      </c>
      <c r="P51" s="258" t="str">
        <f>VLOOKUP(B51,DATA!$A$36:$AC$143,29,FALSE)</f>
        <v>'31-03-2020</v>
      </c>
    </row>
    <row r="52" spans="1:16" ht="12.75" x14ac:dyDescent="0.2">
      <c r="A52" s="6" t="s">
        <v>65</v>
      </c>
      <c r="B52" s="7" t="s">
        <v>264</v>
      </c>
      <c r="C52" s="22">
        <f>(VLOOKUP(B52,DATA!A:AT,4,FALSE))/1000000</f>
        <v>2130</v>
      </c>
      <c r="D52" s="22">
        <f>VLOOKUP(B52,DATA!$A$36:$V$133,22,FALSE)/1000000</f>
        <v>1455.3445274870001</v>
      </c>
      <c r="E52" s="223">
        <f t="shared" si="0"/>
        <v>0.68326034154319248</v>
      </c>
      <c r="F52" s="22">
        <f>(VLOOKUP(B52,DATA!A:AW,24,FALSE))/1</f>
        <v>14.518000000000001</v>
      </c>
      <c r="G52" s="22">
        <f>(VLOOKUP(B52,DATA!A:AX,25,FALSE))/1</f>
        <v>12.574999999999999</v>
      </c>
      <c r="H52" s="23">
        <f t="shared" si="1"/>
        <v>-1.9430000000000014</v>
      </c>
      <c r="I52" s="22">
        <f>(VLOOKUP(B52,DATA!A:AZ,12,FALSE))/1</f>
        <v>10.728999999999999</v>
      </c>
      <c r="J52" s="274">
        <v>1816.7195437930004</v>
      </c>
      <c r="K52" s="249">
        <f t="shared" si="2"/>
        <v>-0.19891623753411658</v>
      </c>
      <c r="L52" s="24">
        <f t="shared" si="3"/>
        <v>1455.3445274870001</v>
      </c>
      <c r="M52" s="161">
        <f t="shared" si="4"/>
        <v>0.68326034154319248</v>
      </c>
      <c r="N52" s="219">
        <f t="shared" si="5"/>
        <v>-0.19891623753411658</v>
      </c>
      <c r="O52" s="258" t="s">
        <v>344</v>
      </c>
      <c r="P52" s="258" t="str">
        <f>VLOOKUP(B52,DATA!$A$36:$AC$143,29,FALSE)</f>
        <v>'31-03-2020</v>
      </c>
    </row>
    <row r="53" spans="1:16" ht="12.75" x14ac:dyDescent="0.2">
      <c r="A53" s="6" t="s">
        <v>115</v>
      </c>
      <c r="B53" s="7" t="s">
        <v>234</v>
      </c>
      <c r="C53" s="22">
        <f>(VLOOKUP(B53,DATA!A:AT,4,FALSE))/1000000</f>
        <v>2300</v>
      </c>
      <c r="D53" s="22">
        <f>VLOOKUP(B53,DATA!$A$36:$V$133,22,FALSE)/1000000</f>
        <v>2323.7525945540001</v>
      </c>
      <c r="E53" s="223">
        <f t="shared" si="0"/>
        <v>1.0103272150234783</v>
      </c>
      <c r="F53" s="22">
        <f>(VLOOKUP(B53,DATA!A:AW,24,FALSE))/1</f>
        <v>11.679</v>
      </c>
      <c r="G53" s="22">
        <f>(VLOOKUP(B53,DATA!A:AX,25,FALSE))/1</f>
        <v>12.888999999999999</v>
      </c>
      <c r="H53" s="23">
        <f t="shared" si="1"/>
        <v>1.2099999999999991</v>
      </c>
      <c r="I53" s="22">
        <f>(VLOOKUP(B53,DATA!A:AZ,12,FALSE))/1</f>
        <v>10.295999999999999</v>
      </c>
      <c r="J53" s="274">
        <v>2530.7891139019994</v>
      </c>
      <c r="K53" s="249">
        <f t="shared" si="2"/>
        <v>-8.1807100485266446E-2</v>
      </c>
      <c r="L53" s="24">
        <f t="shared" si="3"/>
        <v>2323.7525945540001</v>
      </c>
      <c r="M53" s="161">
        <f t="shared" si="4"/>
        <v>1.0103272150234783</v>
      </c>
      <c r="N53" s="219">
        <f t="shared" si="5"/>
        <v>-8.1807100485266446E-2</v>
      </c>
      <c r="O53" s="258" t="s">
        <v>344</v>
      </c>
      <c r="P53" s="258" t="str">
        <f>VLOOKUP(B53,DATA!$A$36:$AC$143,29,FALSE)</f>
        <v>'31-03-2020</v>
      </c>
    </row>
    <row r="54" spans="1:16" ht="12.75" x14ac:dyDescent="0.2">
      <c r="A54" s="6" t="s">
        <v>116</v>
      </c>
      <c r="B54" s="7" t="s">
        <v>235</v>
      </c>
      <c r="C54" s="22">
        <f>(VLOOKUP(B54,DATA!A:AT,4,FALSE))/1000000</f>
        <v>1300</v>
      </c>
      <c r="D54" s="22">
        <f>VLOOKUP(B54,DATA!$A$36:$V$133,22,FALSE)/1000000</f>
        <v>1125.679268269</v>
      </c>
      <c r="E54" s="223">
        <f t="shared" si="0"/>
        <v>0.86590712943769232</v>
      </c>
      <c r="F54" s="22">
        <f>(VLOOKUP(B54,DATA!A:AW,24,FALSE))/1</f>
        <v>15.805999999999999</v>
      </c>
      <c r="G54" s="22">
        <f>(VLOOKUP(B54,DATA!A:AX,25,FALSE))/1</f>
        <v>23.768999999999998</v>
      </c>
      <c r="H54" s="23">
        <f t="shared" si="1"/>
        <v>7.9629999999999992</v>
      </c>
      <c r="I54" s="22">
        <f>(VLOOKUP(B54,DATA!A:AZ,12,FALSE))/1</f>
        <v>8.3130000000000006</v>
      </c>
      <c r="J54" s="274">
        <v>1039.3356613810001</v>
      </c>
      <c r="K54" s="249">
        <f t="shared" si="2"/>
        <v>8.307576666163094E-2</v>
      </c>
      <c r="L54" s="24">
        <f t="shared" si="3"/>
        <v>1125.679268269</v>
      </c>
      <c r="M54" s="161">
        <f t="shared" si="4"/>
        <v>0.86590712943769232</v>
      </c>
      <c r="N54" s="219">
        <f t="shared" si="5"/>
        <v>8.307576666163094E-2</v>
      </c>
      <c r="O54" s="258" t="s">
        <v>344</v>
      </c>
      <c r="P54" s="258" t="str">
        <f>VLOOKUP(B54,DATA!$A$36:$AC$143,29,FALSE)</f>
        <v>'31-03-2020</v>
      </c>
    </row>
    <row r="55" spans="1:16" ht="12.75" x14ac:dyDescent="0.2">
      <c r="A55" s="6" t="s">
        <v>118</v>
      </c>
      <c r="B55" s="7" t="s">
        <v>265</v>
      </c>
      <c r="C55" s="22">
        <f>(VLOOKUP(B55,DATA!A:AT,4,FALSE))/1000000</f>
        <v>860</v>
      </c>
      <c r="D55" s="22">
        <f>VLOOKUP(B55,DATA!$A$36:$V$133,22,FALSE)/1000000</f>
        <v>684.118866465</v>
      </c>
      <c r="E55" s="223">
        <f t="shared" si="0"/>
        <v>0.79548705402906972</v>
      </c>
      <c r="F55" s="22">
        <f>(VLOOKUP(B55,DATA!A:AW,24,FALSE))/1</f>
        <v>12.685</v>
      </c>
      <c r="G55" s="22">
        <f>(VLOOKUP(B55,DATA!A:AX,25,FALSE))/1</f>
        <v>13.401</v>
      </c>
      <c r="H55" s="23">
        <f t="shared" si="1"/>
        <v>0.7159999999999993</v>
      </c>
      <c r="I55" s="22">
        <f>(VLOOKUP(B55,DATA!A:AZ,12,FALSE))/1</f>
        <v>11.477</v>
      </c>
      <c r="J55" s="274">
        <v>712.70716101999994</v>
      </c>
      <c r="K55" s="249">
        <f t="shared" si="2"/>
        <v>-4.0112259450410803E-2</v>
      </c>
      <c r="L55" s="24">
        <f t="shared" si="3"/>
        <v>684.118866465</v>
      </c>
      <c r="M55" s="161">
        <f t="shared" si="4"/>
        <v>0.79548705402906972</v>
      </c>
      <c r="N55" s="219">
        <f t="shared" si="5"/>
        <v>-4.0112259450410803E-2</v>
      </c>
      <c r="O55" s="322" t="s">
        <v>346</v>
      </c>
      <c r="P55" s="258" t="str">
        <f>VLOOKUP(B55,DATA!$A$36:$AC$143,29,FALSE)</f>
        <v>'30-03-2020</v>
      </c>
    </row>
    <row r="56" spans="1:16" ht="12.75" x14ac:dyDescent="0.2">
      <c r="A56" s="6" t="s">
        <v>119</v>
      </c>
      <c r="B56" s="7" t="s">
        <v>266</v>
      </c>
      <c r="C56" s="22">
        <f>(VLOOKUP(B56,DATA!A:AT,4,FALSE))/1000000</f>
        <v>530</v>
      </c>
      <c r="D56" s="22">
        <f>VLOOKUP(B56,DATA!$A$36:$V$133,22,FALSE)/1000000</f>
        <v>372.72088790700002</v>
      </c>
      <c r="E56" s="223">
        <f t="shared" si="0"/>
        <v>0.70324695831509443</v>
      </c>
      <c r="F56" s="22">
        <f>(VLOOKUP(B56,DATA!A:AW,24,FALSE))/1</f>
        <v>11.768000000000001</v>
      </c>
      <c r="G56" s="22">
        <f>(VLOOKUP(B56,DATA!A:AX,25,FALSE))/1</f>
        <v>10.619</v>
      </c>
      <c r="H56" s="23">
        <f t="shared" si="1"/>
        <v>-1.1490000000000009</v>
      </c>
      <c r="I56" s="22">
        <f>(VLOOKUP(B56,DATA!A:AZ,12,FALSE))/1</f>
        <v>11.416</v>
      </c>
      <c r="J56" s="274">
        <v>570.46234875799996</v>
      </c>
      <c r="K56" s="249">
        <f t="shared" si="2"/>
        <v>-0.34663367579213417</v>
      </c>
      <c r="L56" s="24">
        <f t="shared" si="3"/>
        <v>372.72088790700002</v>
      </c>
      <c r="M56" s="161">
        <f t="shared" si="4"/>
        <v>0.70324695831509443</v>
      </c>
      <c r="N56" s="219">
        <f t="shared" si="5"/>
        <v>-0.34663367579213417</v>
      </c>
      <c r="O56" s="322" t="s">
        <v>340</v>
      </c>
      <c r="P56" s="258" t="str">
        <f>VLOOKUP(B56,DATA!$A$36:$AC$143,29,FALSE)</f>
        <v>'26-03-2020</v>
      </c>
    </row>
    <row r="57" spans="1:16" ht="12.75" x14ac:dyDescent="0.2">
      <c r="A57" s="6" t="s">
        <v>120</v>
      </c>
      <c r="B57" s="7" t="s">
        <v>267</v>
      </c>
      <c r="C57" s="22">
        <f>(VLOOKUP(B57,DATA!A:AT,4,FALSE))/1000000</f>
        <v>460</v>
      </c>
      <c r="D57" s="22">
        <f>VLOOKUP(B57,DATA!$A$36:$V$133,22,FALSE)/1000000</f>
        <v>388.83882007300002</v>
      </c>
      <c r="E57" s="223">
        <f t="shared" si="0"/>
        <v>0.84530178276739132</v>
      </c>
      <c r="F57" s="22">
        <f>(VLOOKUP(B57,DATA!A:AW,24,FALSE))/1</f>
        <v>14.015000000000001</v>
      </c>
      <c r="G57" s="22">
        <f>(VLOOKUP(B57,DATA!A:AX,25,FALSE))/1</f>
        <v>14.102</v>
      </c>
      <c r="H57" s="23">
        <f t="shared" si="1"/>
        <v>8.6999999999999744E-2</v>
      </c>
      <c r="I57" s="22">
        <f>(VLOOKUP(B57,DATA!A:AZ,12,FALSE))/1</f>
        <v>8.6969999999999992</v>
      </c>
      <c r="J57" s="274">
        <v>393.09773409800005</v>
      </c>
      <c r="K57" s="249">
        <f t="shared" si="2"/>
        <v>-1.0834237024470532E-2</v>
      </c>
      <c r="L57" s="24">
        <f t="shared" si="3"/>
        <v>388.83882007300002</v>
      </c>
      <c r="M57" s="161">
        <f t="shared" si="4"/>
        <v>0.84530178276739132</v>
      </c>
      <c r="N57" s="219">
        <f t="shared" si="5"/>
        <v>-1.0834237024470532E-2</v>
      </c>
      <c r="O57" s="322" t="s">
        <v>346</v>
      </c>
      <c r="P57" s="258" t="str">
        <f>VLOOKUP(B57,DATA!$A$36:$AC$143,29,FALSE)</f>
        <v>'30-03-2020</v>
      </c>
    </row>
    <row r="58" spans="1:16" ht="12.75" x14ac:dyDescent="0.2">
      <c r="A58" s="6" t="s">
        <v>121</v>
      </c>
      <c r="B58" s="7" t="s">
        <v>268</v>
      </c>
      <c r="C58" s="22">
        <f>(VLOOKUP(B58,DATA!A:AT,4,FALSE))/1000000</f>
        <v>590</v>
      </c>
      <c r="D58" s="22">
        <f>VLOOKUP(B58,DATA!$A$36:$V$133,22,FALSE)/1000000</f>
        <v>380.89150432599996</v>
      </c>
      <c r="E58" s="223">
        <f t="shared" si="0"/>
        <v>0.64557882089152541</v>
      </c>
      <c r="F58" s="22">
        <f>(VLOOKUP(B58,DATA!A:AW,24,FALSE))/1</f>
        <v>15.489000000000001</v>
      </c>
      <c r="G58" s="22">
        <f>(VLOOKUP(B58,DATA!A:AX,25,FALSE))/1</f>
        <v>-79.394000000000005</v>
      </c>
      <c r="H58" s="23">
        <f t="shared" si="1"/>
        <v>-94.88300000000001</v>
      </c>
      <c r="I58" s="22">
        <f>(VLOOKUP(B58,DATA!A:AZ,12,FALSE))/1</f>
        <v>10.456</v>
      </c>
      <c r="J58" s="274">
        <v>552.16179675299998</v>
      </c>
      <c r="K58" s="249">
        <f t="shared" si="2"/>
        <v>-0.31018135161497745</v>
      </c>
      <c r="L58" s="24">
        <f t="shared" si="3"/>
        <v>380.89150432599996</v>
      </c>
      <c r="M58" s="161">
        <f t="shared" si="4"/>
        <v>0.64557882089152541</v>
      </c>
      <c r="N58" s="219">
        <f t="shared" si="5"/>
        <v>-0.31018135161497745</v>
      </c>
      <c r="O58" s="322" t="s">
        <v>340</v>
      </c>
      <c r="P58" s="258" t="str">
        <f>VLOOKUP(B58,DATA!$A$36:$AC$143,29,FALSE)</f>
        <v>'26-03-2020</v>
      </c>
    </row>
    <row r="59" spans="1:16" ht="12.75" x14ac:dyDescent="0.2">
      <c r="A59" s="6" t="s">
        <v>122</v>
      </c>
      <c r="B59" s="7" t="s">
        <v>236</v>
      </c>
      <c r="C59" s="22">
        <f>(VLOOKUP(B59,DATA!A:AT,4,FALSE))/1000000</f>
        <v>660</v>
      </c>
      <c r="D59" s="22">
        <f>VLOOKUP(B59,DATA!$A$36:$V$133,22,FALSE)/1000000</f>
        <v>737.742645165</v>
      </c>
      <c r="E59" s="223">
        <f t="shared" si="0"/>
        <v>1.1177918866136363</v>
      </c>
      <c r="F59" s="22">
        <f>(VLOOKUP(B59,DATA!A:AW,24,FALSE))/1</f>
        <v>11.167</v>
      </c>
      <c r="G59" s="22">
        <f>(VLOOKUP(B59,DATA!A:AX,25,FALSE))/1</f>
        <v>4.0549999999999997</v>
      </c>
      <c r="H59" s="23">
        <f t="shared" ref="H59:H88" si="9">G59-F59</f>
        <v>-7.1120000000000001</v>
      </c>
      <c r="I59" s="22">
        <f>(VLOOKUP(B59,DATA!A:AZ,12,FALSE))/1</f>
        <v>10.582000000000001</v>
      </c>
      <c r="J59" s="274">
        <v>660.83987652700011</v>
      </c>
      <c r="K59" s="249">
        <f t="shared" ref="K59:K88" si="10">(D59-J59)/J59</f>
        <v>0.11637125931648867</v>
      </c>
      <c r="L59" s="24">
        <f t="shared" si="3"/>
        <v>737.742645165</v>
      </c>
      <c r="M59" s="161">
        <f t="shared" si="4"/>
        <v>1.1177918866136363</v>
      </c>
      <c r="N59" s="219">
        <f t="shared" si="5"/>
        <v>0.11637125931648867</v>
      </c>
      <c r="O59" s="322" t="s">
        <v>346</v>
      </c>
      <c r="P59" s="258" t="str">
        <f>VLOOKUP(B59,DATA!$A$36:$AC$143,29,FALSE)</f>
        <v>'30-03-2020</v>
      </c>
    </row>
    <row r="60" spans="1:16" ht="12.75" x14ac:dyDescent="0.2">
      <c r="A60" s="6" t="s">
        <v>123</v>
      </c>
      <c r="B60" s="7" t="s">
        <v>304</v>
      </c>
      <c r="C60" s="22">
        <f>(VLOOKUP(B60,DATA!A:AT,4,FALSE))/1000000</f>
        <v>3120</v>
      </c>
      <c r="D60" s="22">
        <f>VLOOKUP(B60,DATA!$A$36:$V$133,22,FALSE)/1000000</f>
        <v>3000.9407720869999</v>
      </c>
      <c r="E60" s="223">
        <f t="shared" si="0"/>
        <v>0.96183999105352558</v>
      </c>
      <c r="F60" s="22">
        <f>(VLOOKUP(B60,DATA!A:AW,24,FALSE))/1</f>
        <v>11.603</v>
      </c>
      <c r="G60" s="22">
        <f>(VLOOKUP(B60,DATA!A:AX,25,FALSE))/1</f>
        <v>22.866</v>
      </c>
      <c r="H60" s="23">
        <f t="shared" si="9"/>
        <v>11.263</v>
      </c>
      <c r="I60" s="22">
        <f>(VLOOKUP(B60,DATA!A:AZ,12,FALSE))/1</f>
        <v>9.1349999999999998</v>
      </c>
      <c r="J60" s="274">
        <v>2601.3768599900004</v>
      </c>
      <c r="K60" s="249">
        <f t="shared" si="10"/>
        <v>0.15359708861965329</v>
      </c>
      <c r="L60" s="24">
        <f t="shared" si="3"/>
        <v>3000.9407720869999</v>
      </c>
      <c r="M60" s="161">
        <f t="shared" si="4"/>
        <v>0.96183999105352558</v>
      </c>
      <c r="N60" s="219">
        <f t="shared" si="5"/>
        <v>0.15359708861965329</v>
      </c>
      <c r="O60" s="258" t="s">
        <v>344</v>
      </c>
      <c r="P60" s="258" t="str">
        <f>VLOOKUP(B60,DATA!$A$36:$AC$143,29,FALSE)</f>
        <v>'31-03-2020</v>
      </c>
    </row>
    <row r="61" spans="1:16" ht="12.75" x14ac:dyDescent="0.2">
      <c r="A61" s="6" t="s">
        <v>124</v>
      </c>
      <c r="B61" s="7" t="s">
        <v>237</v>
      </c>
      <c r="C61" s="22">
        <f>(VLOOKUP(B61,DATA!A:AT,4,FALSE))/1000000</f>
        <v>1100</v>
      </c>
      <c r="D61" s="22">
        <f>VLOOKUP(B61,DATA!$A$36:$V$133,22,FALSE)/1000000</f>
        <v>973.91269537300002</v>
      </c>
      <c r="E61" s="223">
        <f t="shared" si="0"/>
        <v>0.88537517761181816</v>
      </c>
      <c r="F61" s="22">
        <f>(VLOOKUP(B61,DATA!A:AW,24,FALSE))/1</f>
        <v>11.193</v>
      </c>
      <c r="G61" s="22">
        <f>(VLOOKUP(B61,DATA!A:AX,25,FALSE))/1</f>
        <v>14.78</v>
      </c>
      <c r="H61" s="23">
        <f t="shared" si="9"/>
        <v>3.5869999999999997</v>
      </c>
      <c r="I61" s="22">
        <f>(VLOOKUP(B61,DATA!A:AZ,12,FALSE))/1</f>
        <v>9.6869999999999994</v>
      </c>
      <c r="J61" s="274">
        <v>1029.072673395</v>
      </c>
      <c r="K61" s="249">
        <f t="shared" si="10"/>
        <v>-5.3601635188720409E-2</v>
      </c>
      <c r="L61" s="24">
        <f t="shared" si="3"/>
        <v>973.91269537300002</v>
      </c>
      <c r="M61" s="161">
        <f t="shared" si="4"/>
        <v>0.88537517761181816</v>
      </c>
      <c r="N61" s="219">
        <f t="shared" si="5"/>
        <v>-5.3601635188720409E-2</v>
      </c>
      <c r="O61" s="322" t="s">
        <v>346</v>
      </c>
      <c r="P61" s="258" t="str">
        <f>VLOOKUP(B61,DATA!$A$36:$AC$143,29,FALSE)</f>
        <v>'30-03-2020</v>
      </c>
    </row>
    <row r="62" spans="1:16" ht="12.75" x14ac:dyDescent="0.2">
      <c r="A62" s="6" t="s">
        <v>125</v>
      </c>
      <c r="B62" s="7" t="s">
        <v>269</v>
      </c>
      <c r="C62" s="22">
        <f>(VLOOKUP(B62,DATA!A:AT,4,FALSE))/1000000</f>
        <v>1030</v>
      </c>
      <c r="D62" s="22">
        <f>VLOOKUP(B62,DATA!$A$36:$V$133,22,FALSE)/1000000</f>
        <v>873.21204742999998</v>
      </c>
      <c r="E62" s="223">
        <f t="shared" si="0"/>
        <v>0.84777868682524271</v>
      </c>
      <c r="F62" s="22">
        <f>(VLOOKUP(B62,DATA!A:AW,24,FALSE))/1</f>
        <v>11.88</v>
      </c>
      <c r="G62" s="22">
        <f>(VLOOKUP(B62,DATA!A:AX,25,FALSE))/1</f>
        <v>-13.894</v>
      </c>
      <c r="H62" s="23">
        <f t="shared" si="9"/>
        <v>-25.774000000000001</v>
      </c>
      <c r="I62" s="22">
        <f>(VLOOKUP(B62,DATA!A:AZ,12,FALSE))/1</f>
        <v>19.103000000000002</v>
      </c>
      <c r="J62" s="274">
        <v>854.90582383699996</v>
      </c>
      <c r="K62" s="249">
        <f t="shared" si="10"/>
        <v>2.1413146433881786E-2</v>
      </c>
      <c r="L62" s="24">
        <f t="shared" si="3"/>
        <v>873.21204742999998</v>
      </c>
      <c r="M62" s="161">
        <f t="shared" si="4"/>
        <v>0.84777868682524271</v>
      </c>
      <c r="N62" s="219">
        <f t="shared" si="5"/>
        <v>2.1413146433881786E-2</v>
      </c>
      <c r="O62" s="258" t="s">
        <v>344</v>
      </c>
      <c r="P62" s="258" t="str">
        <f>VLOOKUP(B62,DATA!$A$36:$AC$143,29,FALSE)</f>
        <v>'31-03-2020</v>
      </c>
    </row>
    <row r="63" spans="1:16" ht="12.75" x14ac:dyDescent="0.2">
      <c r="A63" s="6" t="s">
        <v>66</v>
      </c>
      <c r="B63" s="7" t="s">
        <v>228</v>
      </c>
      <c r="C63" s="22">
        <f>(VLOOKUP(B63,DATA!A:AT,4,FALSE))/1000000</f>
        <v>3100</v>
      </c>
      <c r="D63" s="22">
        <f>VLOOKUP(B63,DATA!$A$36:$V$133,22,FALSE)/1000000</f>
        <v>2485.6786492619999</v>
      </c>
      <c r="E63" s="223">
        <f t="shared" si="0"/>
        <v>0.80183182234258066</v>
      </c>
      <c r="F63" s="22">
        <f>(VLOOKUP(B63,DATA!A:AW,24,FALSE))/1</f>
        <v>13.51</v>
      </c>
      <c r="G63" s="22">
        <f>(VLOOKUP(B63,DATA!A:AX,25,FALSE))/1</f>
        <v>20.512</v>
      </c>
      <c r="H63" s="23">
        <f t="shared" si="9"/>
        <v>7.0020000000000007</v>
      </c>
      <c r="I63" s="22">
        <f>(VLOOKUP(B63,DATA!A:AZ,12,FALSE))/1</f>
        <v>7.4880000000000004</v>
      </c>
      <c r="J63" s="274">
        <v>3640.7722418339995</v>
      </c>
      <c r="K63" s="249">
        <f t="shared" si="10"/>
        <v>-0.31726609517054921</v>
      </c>
      <c r="L63" s="24">
        <f t="shared" si="3"/>
        <v>2485.6786492619999</v>
      </c>
      <c r="M63" s="161">
        <f t="shared" si="4"/>
        <v>0.80183182234258066</v>
      </c>
      <c r="N63" s="219">
        <f t="shared" si="5"/>
        <v>-0.31726609517054921</v>
      </c>
      <c r="O63" s="258" t="s">
        <v>344</v>
      </c>
      <c r="P63" s="258" t="str">
        <f>VLOOKUP(B63,DATA!$A$36:$AC$143,29,FALSE)</f>
        <v>'31-03-2020</v>
      </c>
    </row>
    <row r="64" spans="1:16" ht="12.75" x14ac:dyDescent="0.2">
      <c r="A64" s="6" t="s">
        <v>126</v>
      </c>
      <c r="B64" s="7" t="s">
        <v>270</v>
      </c>
      <c r="C64" s="22">
        <f>(VLOOKUP(B64,DATA!A:AT,4,FALSE))/1000000</f>
        <v>1900</v>
      </c>
      <c r="D64" s="22">
        <f>VLOOKUP(B64,DATA!$A$36:$V$133,22,FALSE)/1000000</f>
        <v>1607.1389050209998</v>
      </c>
      <c r="E64" s="223">
        <f t="shared" si="0"/>
        <v>0.84586258158999994</v>
      </c>
      <c r="F64" s="22">
        <f>(VLOOKUP(B64,DATA!A:AW,24,FALSE))/1</f>
        <v>22.809000000000001</v>
      </c>
      <c r="G64" s="22">
        <f>(VLOOKUP(B64,DATA!A:AX,25,FALSE))/1</f>
        <v>24.324000000000002</v>
      </c>
      <c r="H64" s="23">
        <f t="shared" si="9"/>
        <v>1.5150000000000006</v>
      </c>
      <c r="I64" s="22">
        <f>(VLOOKUP(B64,DATA!A:AZ,12,FALSE))/1</f>
        <v>12.393000000000001</v>
      </c>
      <c r="J64" s="274">
        <v>1628.6073068810001</v>
      </c>
      <c r="K64" s="249">
        <f t="shared" si="10"/>
        <v>-1.3182061611350106E-2</v>
      </c>
      <c r="L64" s="24">
        <f t="shared" si="3"/>
        <v>1607.1389050209998</v>
      </c>
      <c r="M64" s="161">
        <f t="shared" si="4"/>
        <v>0.84586258158999994</v>
      </c>
      <c r="N64" s="219">
        <f t="shared" si="5"/>
        <v>-1.3182061611350106E-2</v>
      </c>
      <c r="O64" s="258" t="s">
        <v>344</v>
      </c>
      <c r="P64" s="258" t="str">
        <f>VLOOKUP(B64,DATA!$A$36:$AC$143,29,FALSE)</f>
        <v>'31-03-2020</v>
      </c>
    </row>
    <row r="65" spans="1:16" ht="12.75" x14ac:dyDescent="0.2">
      <c r="A65" s="6" t="s">
        <v>127</v>
      </c>
      <c r="B65" s="7" t="s">
        <v>298</v>
      </c>
      <c r="C65" s="22">
        <f>(VLOOKUP(B65,DATA!A:AT,4,FALSE))/1000000</f>
        <v>1840</v>
      </c>
      <c r="D65" s="22">
        <f>VLOOKUP(B65,DATA!$A$36:$V$133,22,FALSE)/1000000</f>
        <v>1345.8570011440002</v>
      </c>
      <c r="E65" s="223">
        <f t="shared" si="0"/>
        <v>0.73144402236086969</v>
      </c>
      <c r="F65" s="22">
        <f>(VLOOKUP(B65,DATA!A:AW,24,FALSE))/1</f>
        <v>12.999000000000001</v>
      </c>
      <c r="G65" s="22">
        <f>(VLOOKUP(B65,DATA!A:AX,25,FALSE))/1</f>
        <v>13.925000000000001</v>
      </c>
      <c r="H65" s="23">
        <f t="shared" si="9"/>
        <v>0.92600000000000016</v>
      </c>
      <c r="I65" s="22">
        <f>(VLOOKUP(B65,DATA!A:AZ,12,FALSE))/1</f>
        <v>12.872</v>
      </c>
      <c r="J65" s="274">
        <v>1373.6438442280003</v>
      </c>
      <c r="K65" s="249">
        <f t="shared" si="10"/>
        <v>-2.0228564486172582E-2</v>
      </c>
      <c r="L65" s="24">
        <f t="shared" si="3"/>
        <v>1345.8570011440002</v>
      </c>
      <c r="M65" s="161">
        <f t="shared" si="4"/>
        <v>0.73144402236086969</v>
      </c>
      <c r="N65" s="219">
        <f t="shared" si="5"/>
        <v>-2.0228564486172582E-2</v>
      </c>
      <c r="O65" s="258" t="s">
        <v>344</v>
      </c>
      <c r="P65" s="258" t="str">
        <f>VLOOKUP(B65,DATA!$A$36:$AC$143,29,FALSE)</f>
        <v>'31-03-2020</v>
      </c>
    </row>
    <row r="66" spans="1:16" ht="12.75" x14ac:dyDescent="0.2">
      <c r="A66" s="6" t="s">
        <v>128</v>
      </c>
      <c r="B66" s="7" t="s">
        <v>238</v>
      </c>
      <c r="C66" s="22">
        <f>(VLOOKUP(B66,DATA!A:AT,4,FALSE))/1000000</f>
        <v>1750</v>
      </c>
      <c r="D66" s="22">
        <f>VLOOKUP(B66,DATA!$A$36:$V$133,22,FALSE)/1000000</f>
        <v>1276.1375553780001</v>
      </c>
      <c r="E66" s="223">
        <f t="shared" si="0"/>
        <v>0.72922146021600009</v>
      </c>
      <c r="F66" s="22">
        <f>(VLOOKUP(B66,DATA!A:AW,24,FALSE))/1</f>
        <v>12.14</v>
      </c>
      <c r="G66" s="22">
        <f>(VLOOKUP(B66,DATA!A:AX,25,FALSE))/1</f>
        <v>20.013999999999999</v>
      </c>
      <c r="H66" s="23">
        <f t="shared" si="9"/>
        <v>7.8739999999999988</v>
      </c>
      <c r="I66" s="22">
        <f>(VLOOKUP(B66,DATA!A:AZ,12,FALSE))/1</f>
        <v>6.431</v>
      </c>
      <c r="J66" s="274">
        <v>1297.4031942739996</v>
      </c>
      <c r="K66" s="249">
        <f t="shared" si="10"/>
        <v>-1.6390925342140299E-2</v>
      </c>
      <c r="L66" s="24">
        <f t="shared" si="3"/>
        <v>1276.1375553780001</v>
      </c>
      <c r="M66" s="161">
        <f t="shared" si="4"/>
        <v>0.72922146021600009</v>
      </c>
      <c r="N66" s="219">
        <f t="shared" si="5"/>
        <v>-1.6390925342140299E-2</v>
      </c>
      <c r="O66" s="258" t="s">
        <v>344</v>
      </c>
      <c r="P66" s="258" t="str">
        <f>VLOOKUP(B66,DATA!$A$36:$AC$143,29,FALSE)</f>
        <v>'31-03-2020</v>
      </c>
    </row>
    <row r="67" spans="1:16" ht="12.75" x14ac:dyDescent="0.2">
      <c r="A67" s="6" t="s">
        <v>129</v>
      </c>
      <c r="B67" s="7" t="s">
        <v>229</v>
      </c>
      <c r="C67" s="22">
        <f>(VLOOKUP(B67,DATA!A:AT,4,FALSE))/1000000</f>
        <v>819.9</v>
      </c>
      <c r="D67" s="22">
        <f>VLOOKUP(B67,DATA!$A$36:$V$133,22,FALSE)/1000000</f>
        <v>877.358694915</v>
      </c>
      <c r="E67" s="223">
        <f t="shared" ref="E67:E87" si="11">IFERROR(D67/C67,0)</f>
        <v>1.0700801255214052</v>
      </c>
      <c r="F67" s="22">
        <f>(VLOOKUP(B67,DATA!A:AW,24,FALSE))/1</f>
        <v>11.311</v>
      </c>
      <c r="G67" s="22">
        <f>(VLOOKUP(B67,DATA!A:AX,25,FALSE))/1</f>
        <v>28.465</v>
      </c>
      <c r="H67" s="23">
        <f t="shared" si="9"/>
        <v>17.154</v>
      </c>
      <c r="I67" s="22">
        <f>(VLOOKUP(B67,DATA!A:AZ,12,FALSE))/1</f>
        <v>17.329000000000001</v>
      </c>
      <c r="J67" s="274">
        <v>593.63401092200013</v>
      </c>
      <c r="K67" s="249">
        <f t="shared" si="10"/>
        <v>0.47794546601589438</v>
      </c>
      <c r="L67" s="24">
        <f t="shared" ref="L67:L87" si="12">(D67/$B$2)*31*100%</f>
        <v>877.358694915</v>
      </c>
      <c r="M67" s="161">
        <f t="shared" ref="M67:M87" si="13">IFERROR(L67/C67,0)</f>
        <v>1.0700801255214052</v>
      </c>
      <c r="N67" s="219">
        <f t="shared" ref="N67:N88" si="14">IFERROR((L67-J67)/J67,0)</f>
        <v>0.47794546601589438</v>
      </c>
      <c r="O67" s="322" t="s">
        <v>346</v>
      </c>
      <c r="P67" s="258" t="str">
        <f>VLOOKUP(B67,DATA!$A$36:$AC$143,29,FALSE)</f>
        <v>'30-03-2020</v>
      </c>
    </row>
    <row r="68" spans="1:16" ht="12.75" x14ac:dyDescent="0.2">
      <c r="A68" s="6" t="s">
        <v>130</v>
      </c>
      <c r="B68" s="7" t="s">
        <v>230</v>
      </c>
      <c r="C68" s="22">
        <f>(VLOOKUP(B68,DATA!A:AT,4,FALSE))/1000000</f>
        <v>520</v>
      </c>
      <c r="D68" s="22">
        <f>VLOOKUP(B68,DATA!$A$36:$V$133,22,FALSE)/1000000</f>
        <v>522.79949063499998</v>
      </c>
      <c r="E68" s="223">
        <f t="shared" si="11"/>
        <v>1.0053836358365384</v>
      </c>
      <c r="F68" s="22">
        <f>(VLOOKUP(B68,DATA!A:AW,24,FALSE))/1</f>
        <v>11.05</v>
      </c>
      <c r="G68" s="22">
        <f>(VLOOKUP(B68,DATA!A:AX,25,FALSE))/1</f>
        <v>13.105</v>
      </c>
      <c r="H68" s="23">
        <f t="shared" si="9"/>
        <v>2.0549999999999997</v>
      </c>
      <c r="I68" s="22">
        <f>(VLOOKUP(B68,DATA!A:AZ,12,FALSE))/1</f>
        <v>7.5759999999999996</v>
      </c>
      <c r="J68" s="274">
        <v>400.49732045500002</v>
      </c>
      <c r="K68" s="249">
        <f t="shared" si="10"/>
        <v>0.30537575143088097</v>
      </c>
      <c r="L68" s="24">
        <f t="shared" si="12"/>
        <v>522.79949063499998</v>
      </c>
      <c r="M68" s="161">
        <f t="shared" si="13"/>
        <v>1.0053836358365384</v>
      </c>
      <c r="N68" s="219">
        <f t="shared" si="14"/>
        <v>0.30537575143088097</v>
      </c>
      <c r="O68" s="322" t="s">
        <v>346</v>
      </c>
      <c r="P68" s="258" t="str">
        <f>VLOOKUP(B68,DATA!$A$36:$AC$143,29,FALSE)</f>
        <v>'30-03-2020</v>
      </c>
    </row>
    <row r="69" spans="1:16" ht="12.75" x14ac:dyDescent="0.2">
      <c r="A69" s="6" t="s">
        <v>57</v>
      </c>
      <c r="B69" s="7" t="s">
        <v>239</v>
      </c>
      <c r="C69" s="22">
        <f>(VLOOKUP(B69,DATA!A:AT,4,FALSE))/1000000</f>
        <v>970</v>
      </c>
      <c r="D69" s="22">
        <f>VLOOKUP(B69,DATA!$A$36:$V$133,22,FALSE)/1000000</f>
        <v>728.69280653299995</v>
      </c>
      <c r="E69" s="223">
        <f t="shared" si="11"/>
        <v>0.75122969745670098</v>
      </c>
      <c r="F69" s="22">
        <f>(VLOOKUP(B69,DATA!A:AW,24,FALSE))/1</f>
        <v>15.087999999999999</v>
      </c>
      <c r="G69" s="22">
        <f>(VLOOKUP(B69,DATA!A:AX,25,FALSE))/1</f>
        <v>12.491</v>
      </c>
      <c r="H69" s="23">
        <f t="shared" si="9"/>
        <v>-2.5969999999999995</v>
      </c>
      <c r="I69" s="22">
        <f>(VLOOKUP(B69,DATA!A:AZ,12,FALSE))/1</f>
        <v>10.728</v>
      </c>
      <c r="J69" s="274">
        <v>840.05491945199992</v>
      </c>
      <c r="K69" s="249">
        <f t="shared" si="10"/>
        <v>-0.13256527679362409</v>
      </c>
      <c r="L69" s="24">
        <f t="shared" si="12"/>
        <v>728.69280653299995</v>
      </c>
      <c r="M69" s="161">
        <f t="shared" si="13"/>
        <v>0.75122969745670098</v>
      </c>
      <c r="N69" s="219">
        <f t="shared" si="14"/>
        <v>-0.13256527679362409</v>
      </c>
      <c r="O69" s="322" t="s">
        <v>346</v>
      </c>
      <c r="P69" s="258" t="str">
        <f>VLOOKUP(B69,DATA!$A$36:$AC$143,29,FALSE)</f>
        <v>'30-03-2020</v>
      </c>
    </row>
    <row r="70" spans="1:16" ht="12.75" x14ac:dyDescent="0.2">
      <c r="A70" s="6" t="s">
        <v>58</v>
      </c>
      <c r="B70" s="7" t="s">
        <v>299</v>
      </c>
      <c r="C70" s="22">
        <f>(VLOOKUP(B70,DATA!A:AT,4,FALSE))/1000000</f>
        <v>1120</v>
      </c>
      <c r="D70" s="22">
        <f>VLOOKUP(B70,DATA!$A$36:$V$133,22,FALSE)/1000000</f>
        <v>1059.139249673</v>
      </c>
      <c r="E70" s="223">
        <f t="shared" si="11"/>
        <v>0.9456600443508929</v>
      </c>
      <c r="F70" s="22">
        <f>(VLOOKUP(B70,DATA!A:AW,24,FALSE))/1</f>
        <v>13.462</v>
      </c>
      <c r="G70" s="22">
        <f>(VLOOKUP(B70,DATA!A:AX,25,FALSE))/1</f>
        <v>14.151</v>
      </c>
      <c r="H70" s="23">
        <f t="shared" si="9"/>
        <v>0.68900000000000006</v>
      </c>
      <c r="I70" s="22">
        <f>(VLOOKUP(B70,DATA!A:AZ,12,FALSE))/1</f>
        <v>15.504</v>
      </c>
      <c r="J70" s="274">
        <v>686.04757482500008</v>
      </c>
      <c r="K70" s="249">
        <f t="shared" si="10"/>
        <v>0.54382770020456628</v>
      </c>
      <c r="L70" s="24">
        <f t="shared" si="12"/>
        <v>1059.139249673</v>
      </c>
      <c r="M70" s="161">
        <f t="shared" si="13"/>
        <v>0.9456600443508929</v>
      </c>
      <c r="N70" s="219">
        <f t="shared" si="14"/>
        <v>0.54382770020456628</v>
      </c>
      <c r="O70" s="322" t="s">
        <v>346</v>
      </c>
      <c r="P70" s="258" t="str">
        <f>VLOOKUP(B70,DATA!$A$36:$AC$143,29,FALSE)</f>
        <v>'30-03-2020</v>
      </c>
    </row>
    <row r="71" spans="1:16" ht="12.75" x14ac:dyDescent="0.2">
      <c r="A71" s="6" t="s">
        <v>143</v>
      </c>
      <c r="B71" s="7" t="s">
        <v>231</v>
      </c>
      <c r="C71" s="22">
        <f>(VLOOKUP(B71,DATA!A:AT,4,FALSE))/1000000</f>
        <v>590.1</v>
      </c>
      <c r="D71" s="22">
        <f>VLOOKUP(B71,DATA!$A$36:$V$133,22,FALSE)/1000000</f>
        <v>528.19772946099999</v>
      </c>
      <c r="E71" s="223">
        <f t="shared" si="11"/>
        <v>0.89509867727673276</v>
      </c>
      <c r="F71" s="22">
        <f>(VLOOKUP(B71,DATA!A:AW,24,FALSE))/1</f>
        <v>11.234</v>
      </c>
      <c r="G71" s="22">
        <f>(VLOOKUP(B71,DATA!A:AX,25,FALSE))/1</f>
        <v>10.648</v>
      </c>
      <c r="H71" s="23">
        <f t="shared" si="9"/>
        <v>-0.5860000000000003</v>
      </c>
      <c r="I71" s="22">
        <f>(VLOOKUP(B71,DATA!A:AZ,12,FALSE))/1</f>
        <v>6.3819999999999997</v>
      </c>
      <c r="J71" s="274">
        <v>420.94696974599998</v>
      </c>
      <c r="K71" s="249">
        <v>0</v>
      </c>
      <c r="L71" s="24">
        <f t="shared" si="12"/>
        <v>528.19772946099999</v>
      </c>
      <c r="M71" s="161">
        <f t="shared" si="13"/>
        <v>0.89509867727673276</v>
      </c>
      <c r="N71" s="219">
        <f t="shared" si="14"/>
        <v>0.25478449168957146</v>
      </c>
      <c r="O71" s="322" t="s">
        <v>346</v>
      </c>
      <c r="P71" s="258" t="str">
        <f>VLOOKUP(B71,DATA!$A$36:$AC$143,29,FALSE)</f>
        <v>'30-03-2020</v>
      </c>
    </row>
    <row r="72" spans="1:16" ht="12.75" x14ac:dyDescent="0.2">
      <c r="A72" s="6" t="s">
        <v>286</v>
      </c>
      <c r="B72" s="7" t="s">
        <v>300</v>
      </c>
      <c r="C72" s="22">
        <f>(VLOOKUP(B72,DATA!A:AT,4,FALSE))/1000000</f>
        <v>590</v>
      </c>
      <c r="D72" s="22">
        <f>VLOOKUP(B72,DATA!$A$36:$V$133,22,FALSE)/1000000</f>
        <v>566.43877761900001</v>
      </c>
      <c r="E72" s="223">
        <f t="shared" si="11"/>
        <v>0.96006572477796615</v>
      </c>
      <c r="F72" s="22">
        <f>(VLOOKUP(B72,DATA!A:AW,24,FALSE))/1</f>
        <v>10.946999999999999</v>
      </c>
      <c r="G72" s="22">
        <f>(VLOOKUP(B72,DATA!A:AX,25,FALSE))/1</f>
        <v>7.7140000000000004</v>
      </c>
      <c r="H72" s="23">
        <f t="shared" si="9"/>
        <v>-3.2329999999999988</v>
      </c>
      <c r="I72" s="22">
        <f>(VLOOKUP(B72,DATA!A:AZ,12,FALSE))/1</f>
        <v>9.3640000000000008</v>
      </c>
      <c r="J72" s="274">
        <v>419.13029809</v>
      </c>
      <c r="K72" s="249"/>
      <c r="L72" s="24">
        <f t="shared" si="12"/>
        <v>566.43877761900001</v>
      </c>
      <c r="M72" s="161">
        <f t="shared" si="13"/>
        <v>0.96006572477796615</v>
      </c>
      <c r="N72" s="219">
        <f t="shared" si="14"/>
        <v>0.35146225457880981</v>
      </c>
      <c r="O72" s="258" t="s">
        <v>344</v>
      </c>
      <c r="P72" s="258" t="str">
        <f>VLOOKUP(B72,DATA!$A$36:$AC$143,29,FALSE)</f>
        <v>'31-03-2020</v>
      </c>
    </row>
    <row r="73" spans="1:16" ht="12.75" x14ac:dyDescent="0.2">
      <c r="A73" s="6" t="s">
        <v>289</v>
      </c>
      <c r="B73" s="7" t="s">
        <v>301</v>
      </c>
      <c r="C73" s="22">
        <f>(VLOOKUP(B73,DATA!A:AT,4,FALSE))/1000000</f>
        <v>2810</v>
      </c>
      <c r="D73" s="22">
        <f>VLOOKUP(B73,DATA!$A$36:$V$133,22,FALSE)/1000000</f>
        <v>2540.6598943569998</v>
      </c>
      <c r="E73" s="223">
        <f t="shared" si="11"/>
        <v>0.90414942859679703</v>
      </c>
      <c r="F73" s="22">
        <f>(VLOOKUP(B73,DATA!A:AW,24,FALSE))/1</f>
        <v>13.576000000000001</v>
      </c>
      <c r="G73" s="22">
        <f>(VLOOKUP(B73,DATA!A:AX,25,FALSE))/1</f>
        <v>12.404</v>
      </c>
      <c r="H73" s="23">
        <f t="shared" ref="H73" si="15">G73-F73</f>
        <v>-1.1720000000000006</v>
      </c>
      <c r="I73" s="22">
        <f>(VLOOKUP(B73,DATA!A:AZ,12,FALSE))/1</f>
        <v>6.3109999999999999</v>
      </c>
      <c r="J73" s="274">
        <v>1837.4299615849998</v>
      </c>
      <c r="K73" s="249"/>
      <c r="L73" s="24">
        <f t="shared" si="12"/>
        <v>2540.6598943569998</v>
      </c>
      <c r="M73" s="161">
        <f t="shared" si="13"/>
        <v>0.90414942859679703</v>
      </c>
      <c r="N73" s="219">
        <f t="shared" si="14"/>
        <v>0.38272475548694185</v>
      </c>
      <c r="O73" s="258" t="s">
        <v>344</v>
      </c>
      <c r="P73" s="258" t="str">
        <f>VLOOKUP(B73,DATA!$A$36:$AC$143,29,FALSE)</f>
        <v>'31-03-2020</v>
      </c>
    </row>
    <row r="74" spans="1:16" ht="12.75" x14ac:dyDescent="0.2">
      <c r="A74" s="6" t="s">
        <v>67</v>
      </c>
      <c r="B74" s="7" t="s">
        <v>240</v>
      </c>
      <c r="C74" s="22">
        <f>(VLOOKUP(B74,DATA!A:AT,4,FALSE))/1000000</f>
        <v>550</v>
      </c>
      <c r="D74" s="22">
        <f>VLOOKUP(B74,DATA!$A$36:$V$133,22,FALSE)/1000000</f>
        <v>492.787608541</v>
      </c>
      <c r="E74" s="223">
        <f t="shared" si="11"/>
        <v>0.89597747007454542</v>
      </c>
      <c r="F74" s="22">
        <f>(VLOOKUP(B74,DATA!A:AW,24,FALSE))/1</f>
        <v>13.144</v>
      </c>
      <c r="G74" s="22">
        <f>(VLOOKUP(B74,DATA!A:AX,25,FALSE))/1</f>
        <v>11.994</v>
      </c>
      <c r="H74" s="23">
        <f t="shared" si="9"/>
        <v>-1.1500000000000004</v>
      </c>
      <c r="I74" s="22">
        <f>(VLOOKUP(B74,DATA!A:AZ,12,FALSE))/1</f>
        <v>12.18</v>
      </c>
      <c r="J74" s="274">
        <v>477.94178498999997</v>
      </c>
      <c r="K74" s="249">
        <f t="shared" si="10"/>
        <v>3.106199126596693E-2</v>
      </c>
      <c r="L74" s="24">
        <f t="shared" si="12"/>
        <v>492.787608541</v>
      </c>
      <c r="M74" s="161">
        <f t="shared" si="13"/>
        <v>0.89597747007454542</v>
      </c>
      <c r="N74" s="219">
        <f t="shared" si="14"/>
        <v>3.106199126596693E-2</v>
      </c>
      <c r="O74" s="322" t="s">
        <v>346</v>
      </c>
      <c r="P74" s="258" t="str">
        <f>VLOOKUP(B74,DATA!$A$36:$AC$143,29,FALSE)</f>
        <v>'30-03-2020</v>
      </c>
    </row>
    <row r="75" spans="1:16" ht="12.75" x14ac:dyDescent="0.2">
      <c r="A75" s="6" t="s">
        <v>69</v>
      </c>
      <c r="B75" s="7" t="s">
        <v>241</v>
      </c>
      <c r="C75" s="22">
        <f>(VLOOKUP(B75,DATA!A:AT,4,FALSE))/1000000</f>
        <v>2980</v>
      </c>
      <c r="D75" s="22">
        <f>VLOOKUP(B75,DATA!$A$36:$V$133,22,FALSE)/1000000</f>
        <v>2819.537641077</v>
      </c>
      <c r="E75" s="223">
        <f t="shared" si="11"/>
        <v>0.9461535708312081</v>
      </c>
      <c r="F75" s="22">
        <f>(VLOOKUP(B75,DATA!A:AW,24,FALSE))/1</f>
        <v>11.098000000000001</v>
      </c>
      <c r="G75" s="22">
        <f>(VLOOKUP(B75,DATA!A:AX,25,FALSE))/1</f>
        <v>15.829000000000001</v>
      </c>
      <c r="H75" s="23">
        <f t="shared" si="9"/>
        <v>4.7309999999999999</v>
      </c>
      <c r="I75" s="22">
        <f>(VLOOKUP(B75,DATA!A:AZ,12,FALSE))/1</f>
        <v>8.7110000000000003</v>
      </c>
      <c r="J75" s="274">
        <v>2722.6873269150001</v>
      </c>
      <c r="K75" s="249">
        <f t="shared" si="10"/>
        <v>3.5571588850688285E-2</v>
      </c>
      <c r="L75" s="24">
        <f t="shared" si="12"/>
        <v>2819.537641077</v>
      </c>
      <c r="M75" s="161">
        <f t="shared" si="13"/>
        <v>0.9461535708312081</v>
      </c>
      <c r="N75" s="219">
        <f t="shared" si="14"/>
        <v>3.5571588850688285E-2</v>
      </c>
      <c r="O75" s="258" t="s">
        <v>344</v>
      </c>
      <c r="P75" s="258" t="str">
        <f>VLOOKUP(B75,DATA!$A$36:$AC$143,29,FALSE)</f>
        <v>'31-03-2020</v>
      </c>
    </row>
    <row r="76" spans="1:16" ht="12.75" x14ac:dyDescent="0.2">
      <c r="A76" s="6" t="s">
        <v>70</v>
      </c>
      <c r="B76" s="7" t="s">
        <v>242</v>
      </c>
      <c r="C76" s="22">
        <f>(VLOOKUP(B76,DATA!A:AT,4,FALSE))/1000000</f>
        <v>950</v>
      </c>
      <c r="D76" s="22">
        <f>VLOOKUP(B76,DATA!$A$36:$V$133,22,FALSE)/1000000</f>
        <v>748.25747850799996</v>
      </c>
      <c r="E76" s="223">
        <f t="shared" si="11"/>
        <v>0.7876394510610526</v>
      </c>
      <c r="F76" s="22">
        <f>(VLOOKUP(B76,DATA!A:AW,24,FALSE))/1</f>
        <v>11.494999999999999</v>
      </c>
      <c r="G76" s="22">
        <f>(VLOOKUP(B76,DATA!A:AX,25,FALSE))/1</f>
        <v>4.7140000000000004</v>
      </c>
      <c r="H76" s="23">
        <f t="shared" si="9"/>
        <v>-6.7809999999999988</v>
      </c>
      <c r="I76" s="22">
        <f>(VLOOKUP(B76,DATA!A:AZ,12,FALSE))/1</f>
        <v>9.7029999999999994</v>
      </c>
      <c r="J76" s="274">
        <v>772.80181575300003</v>
      </c>
      <c r="K76" s="249">
        <f t="shared" si="10"/>
        <v>-3.1760196139141619E-2</v>
      </c>
      <c r="L76" s="24">
        <f t="shared" si="12"/>
        <v>748.25747850799996</v>
      </c>
      <c r="M76" s="161">
        <f t="shared" si="13"/>
        <v>0.7876394510610526</v>
      </c>
      <c r="N76" s="219">
        <f t="shared" si="14"/>
        <v>-3.1760196139141619E-2</v>
      </c>
      <c r="O76" s="258" t="s">
        <v>344</v>
      </c>
      <c r="P76" s="258" t="str">
        <f>VLOOKUP(B76,DATA!$A$36:$AC$143,29,FALSE)</f>
        <v>'31-03-2020</v>
      </c>
    </row>
    <row r="77" spans="1:16" ht="12.75" x14ac:dyDescent="0.2">
      <c r="A77" s="6" t="s">
        <v>71</v>
      </c>
      <c r="B77" s="7" t="s">
        <v>243</v>
      </c>
      <c r="C77" s="22">
        <f>(VLOOKUP(B77,DATA!A:AT,4,FALSE))/1000000</f>
        <v>1200</v>
      </c>
      <c r="D77" s="22">
        <f>VLOOKUP(B77,DATA!$A$36:$V$133,22,FALSE)/1000000</f>
        <v>923.74881818499989</v>
      </c>
      <c r="E77" s="223">
        <f t="shared" si="11"/>
        <v>0.76979068182083321</v>
      </c>
      <c r="F77" s="22">
        <f>(VLOOKUP(B77,DATA!A:AW,24,FALSE))/1</f>
        <v>11.359</v>
      </c>
      <c r="G77" s="22">
        <f>(VLOOKUP(B77,DATA!A:AX,25,FALSE))/1</f>
        <v>14.901</v>
      </c>
      <c r="H77" s="23">
        <f t="shared" si="9"/>
        <v>3.5419999999999998</v>
      </c>
      <c r="I77" s="22">
        <f>(VLOOKUP(B77,DATA!A:AZ,12,FALSE))/1</f>
        <v>13.124000000000001</v>
      </c>
      <c r="J77" s="274">
        <v>1002.6902828840001</v>
      </c>
      <c r="K77" s="249">
        <f t="shared" si="10"/>
        <v>-7.8729659643198974E-2</v>
      </c>
      <c r="L77" s="24">
        <f t="shared" si="12"/>
        <v>923.74881818499989</v>
      </c>
      <c r="M77" s="161">
        <f t="shared" si="13"/>
        <v>0.76979068182083321</v>
      </c>
      <c r="N77" s="219">
        <f t="shared" si="14"/>
        <v>-7.8729659643198974E-2</v>
      </c>
      <c r="O77" s="258" t="s">
        <v>344</v>
      </c>
      <c r="P77" s="258" t="str">
        <f>VLOOKUP(B77,DATA!$A$36:$AC$143,29,FALSE)</f>
        <v>'31-03-2020</v>
      </c>
    </row>
    <row r="78" spans="1:16" ht="12.75" x14ac:dyDescent="0.2">
      <c r="A78" s="6" t="s">
        <v>72</v>
      </c>
      <c r="B78" s="7" t="s">
        <v>305</v>
      </c>
      <c r="C78" s="22">
        <f>(VLOOKUP(B78,DATA!A:AT,4,FALSE))/1000000</f>
        <v>930</v>
      </c>
      <c r="D78" s="22">
        <f>VLOOKUP(B78,DATA!$A$36:$V$133,22,FALSE)/1000000</f>
        <v>876.49164736600005</v>
      </c>
      <c r="E78" s="223">
        <f t="shared" si="11"/>
        <v>0.94246413695268827</v>
      </c>
      <c r="F78" s="22">
        <f>(VLOOKUP(B78,DATA!A:AW,24,FALSE))/1</f>
        <v>11.372999999999999</v>
      </c>
      <c r="G78" s="22">
        <f>(VLOOKUP(B78,DATA!A:AX,25,FALSE))/1</f>
        <v>10.734</v>
      </c>
      <c r="H78" s="23">
        <f t="shared" si="9"/>
        <v>-0.63899999999999935</v>
      </c>
      <c r="I78" s="22">
        <f>(VLOOKUP(B78,DATA!A:AZ,12,FALSE))/1</f>
        <v>12.46</v>
      </c>
      <c r="J78" s="274">
        <v>709.80759761800005</v>
      </c>
      <c r="K78" s="249">
        <f t="shared" si="10"/>
        <v>0.23482990363496364</v>
      </c>
      <c r="L78" s="24">
        <f t="shared" si="12"/>
        <v>876.49164736600005</v>
      </c>
      <c r="M78" s="161">
        <f t="shared" si="13"/>
        <v>0.94246413695268827</v>
      </c>
      <c r="N78" s="219">
        <f t="shared" si="14"/>
        <v>0.23482990363496364</v>
      </c>
      <c r="O78" s="258" t="s">
        <v>344</v>
      </c>
      <c r="P78" s="258" t="str">
        <f>VLOOKUP(B78,DATA!$A$36:$AC$143,29,FALSE)</f>
        <v>'31-03-2020</v>
      </c>
    </row>
    <row r="79" spans="1:16" ht="12.75" x14ac:dyDescent="0.2">
      <c r="A79" s="6" t="s">
        <v>73</v>
      </c>
      <c r="B79" s="7" t="s">
        <v>244</v>
      </c>
      <c r="C79" s="22">
        <f>(VLOOKUP(B79,DATA!A:AT,4,FALSE))/1000000</f>
        <v>1910</v>
      </c>
      <c r="D79" s="22">
        <f>VLOOKUP(B79,DATA!$A$36:$V$133,22,FALSE)/1000000</f>
        <v>1610.2432880810002</v>
      </c>
      <c r="E79" s="223">
        <f t="shared" si="11"/>
        <v>0.84305931313141369</v>
      </c>
      <c r="F79" s="22">
        <f>(VLOOKUP(B79,DATA!A:AW,24,FALSE))/1</f>
        <v>12.419</v>
      </c>
      <c r="G79" s="22">
        <f>(VLOOKUP(B79,DATA!A:AX,25,FALSE))/1</f>
        <v>14.162000000000001</v>
      </c>
      <c r="H79" s="23">
        <f t="shared" si="9"/>
        <v>1.7430000000000003</v>
      </c>
      <c r="I79" s="22">
        <f>(VLOOKUP(B79,DATA!A:AZ,12,FALSE))/1</f>
        <v>12.821</v>
      </c>
      <c r="J79" s="274">
        <v>2078.2653751850003</v>
      </c>
      <c r="K79" s="249">
        <f t="shared" si="10"/>
        <v>-0.22519842398006479</v>
      </c>
      <c r="L79" s="24">
        <f t="shared" si="12"/>
        <v>1610.2432880810002</v>
      </c>
      <c r="M79" s="161">
        <f t="shared" si="13"/>
        <v>0.84305931313141369</v>
      </c>
      <c r="N79" s="219">
        <f t="shared" si="14"/>
        <v>-0.22519842398006479</v>
      </c>
      <c r="O79" s="258" t="s">
        <v>344</v>
      </c>
      <c r="P79" s="258" t="str">
        <f>VLOOKUP(B79,DATA!$A$36:$AC$143,29,FALSE)</f>
        <v>'31-03-2020</v>
      </c>
    </row>
    <row r="80" spans="1:16" ht="12.75" x14ac:dyDescent="0.2">
      <c r="A80" s="6" t="s">
        <v>68</v>
      </c>
      <c r="B80" s="7" t="s">
        <v>245</v>
      </c>
      <c r="C80" s="22">
        <f>(VLOOKUP(B80,DATA!A:AT,4,FALSE))/1000000</f>
        <v>1030</v>
      </c>
      <c r="D80" s="22">
        <f>VLOOKUP(B80,DATA!$A$36:$V$133,22,FALSE)/1000000</f>
        <v>852.60732900000005</v>
      </c>
      <c r="E80" s="223">
        <f t="shared" si="11"/>
        <v>0.8277741058252428</v>
      </c>
      <c r="F80" s="22">
        <f>(VLOOKUP(B80,DATA!A:AW,24,FALSE))/1</f>
        <v>12.015000000000001</v>
      </c>
      <c r="G80" s="22">
        <f>(VLOOKUP(B80,DATA!A:AX,25,FALSE))/1</f>
        <v>14.367000000000001</v>
      </c>
      <c r="H80" s="23">
        <f t="shared" si="9"/>
        <v>2.3520000000000003</v>
      </c>
      <c r="I80" s="22">
        <f>(VLOOKUP(B80,DATA!A:AZ,12,FALSE))/1</f>
        <v>9.6649999999999991</v>
      </c>
      <c r="J80" s="274">
        <v>1356.7415639999999</v>
      </c>
      <c r="K80" s="249">
        <f t="shared" si="10"/>
        <v>-0.37157720259832766</v>
      </c>
      <c r="L80" s="24">
        <f t="shared" si="12"/>
        <v>852.60732900000005</v>
      </c>
      <c r="M80" s="161">
        <f t="shared" si="13"/>
        <v>0.8277741058252428</v>
      </c>
      <c r="N80" s="219">
        <f t="shared" si="14"/>
        <v>-0.37157720259832766</v>
      </c>
      <c r="O80" s="258" t="s">
        <v>344</v>
      </c>
      <c r="P80" s="258" t="str">
        <f>VLOOKUP(B80,DATA!$A$36:$AC$143,29,FALSE)</f>
        <v>'31-03-2020</v>
      </c>
    </row>
    <row r="81" spans="1:16" ht="12.75" x14ac:dyDescent="0.2">
      <c r="A81" s="6" t="s">
        <v>74</v>
      </c>
      <c r="B81" s="7" t="s">
        <v>246</v>
      </c>
      <c r="C81" s="22">
        <f>(VLOOKUP(B81,DATA!A:AT,4,FALSE))/1000000</f>
        <v>929.9</v>
      </c>
      <c r="D81" s="22">
        <f>VLOOKUP(B81,DATA!$A$36:$V$133,22,FALSE)/1000000</f>
        <v>770.17565589799995</v>
      </c>
      <c r="E81" s="223">
        <f t="shared" si="11"/>
        <v>0.82823492407570698</v>
      </c>
      <c r="F81" s="22">
        <f>(VLOOKUP(B81,DATA!A:AW,24,FALSE))/1</f>
        <v>11.157</v>
      </c>
      <c r="G81" s="22">
        <f>(VLOOKUP(B81,DATA!A:AX,25,FALSE))/1</f>
        <v>10.202999999999999</v>
      </c>
      <c r="H81" s="23">
        <f t="shared" si="9"/>
        <v>-0.95400000000000063</v>
      </c>
      <c r="I81" s="22">
        <f>(VLOOKUP(B81,DATA!A:AZ,12,FALSE))/1</f>
        <v>10.835000000000001</v>
      </c>
      <c r="J81" s="274">
        <v>655.93086860099982</v>
      </c>
      <c r="K81" s="249">
        <f t="shared" si="10"/>
        <v>0.17417199397958932</v>
      </c>
      <c r="L81" s="24">
        <f t="shared" si="12"/>
        <v>770.17565589799995</v>
      </c>
      <c r="M81" s="161">
        <f t="shared" si="13"/>
        <v>0.82823492407570698</v>
      </c>
      <c r="N81" s="219">
        <f t="shared" si="14"/>
        <v>0.17417199397958932</v>
      </c>
      <c r="O81" s="322" t="s">
        <v>346</v>
      </c>
      <c r="P81" s="258" t="str">
        <f>VLOOKUP(B81,DATA!$A$36:$AC$143,29,FALSE)</f>
        <v>'30-03-2020</v>
      </c>
    </row>
    <row r="82" spans="1:16" ht="12.75" x14ac:dyDescent="0.2">
      <c r="A82" s="6" t="s">
        <v>75</v>
      </c>
      <c r="B82" s="7" t="s">
        <v>247</v>
      </c>
      <c r="C82" s="22">
        <f>(VLOOKUP(B82,DATA!A:AT,4,FALSE))/1000000</f>
        <v>800</v>
      </c>
      <c r="D82" s="22">
        <f>VLOOKUP(B82,DATA!$A$36:$V$133,22,FALSE)/1000000</f>
        <v>661.49309936099996</v>
      </c>
      <c r="E82" s="223">
        <f t="shared" si="11"/>
        <v>0.82686637420124998</v>
      </c>
      <c r="F82" s="22">
        <f>(VLOOKUP(B82,DATA!A:AW,24,FALSE))/1</f>
        <v>11.58</v>
      </c>
      <c r="G82" s="22">
        <f>(VLOOKUP(B82,DATA!A:AX,25,FALSE))/1</f>
        <v>7.6550000000000002</v>
      </c>
      <c r="H82" s="23">
        <f t="shared" si="9"/>
        <v>-3.9249999999999998</v>
      </c>
      <c r="I82" s="22">
        <f>(VLOOKUP(B82,DATA!A:AZ,12,FALSE))/1</f>
        <v>15.808</v>
      </c>
      <c r="J82" s="274">
        <v>870.39838956599999</v>
      </c>
      <c r="K82" s="249">
        <f t="shared" si="10"/>
        <v>-0.24001111756326302</v>
      </c>
      <c r="L82" s="24">
        <f t="shared" si="12"/>
        <v>661.49309936099996</v>
      </c>
      <c r="M82" s="161">
        <f t="shared" si="13"/>
        <v>0.82686637420124998</v>
      </c>
      <c r="N82" s="219">
        <f t="shared" si="14"/>
        <v>-0.24001111756326302</v>
      </c>
      <c r="O82" s="322" t="s">
        <v>346</v>
      </c>
      <c r="P82" s="258" t="str">
        <f>VLOOKUP(B82,DATA!$A$36:$AC$143,29,FALSE)</f>
        <v>'30-03-2020</v>
      </c>
    </row>
    <row r="83" spans="1:16" ht="12.75" x14ac:dyDescent="0.2">
      <c r="A83" s="6" t="s">
        <v>76</v>
      </c>
      <c r="B83" s="7" t="s">
        <v>306</v>
      </c>
      <c r="C83" s="22">
        <f>(VLOOKUP(B83,DATA!A:AT,4,FALSE))/1000000</f>
        <v>1460</v>
      </c>
      <c r="D83" s="22">
        <f>VLOOKUP(B83,DATA!$A$36:$V$133,22,FALSE)/1000000</f>
        <v>1140.898258643</v>
      </c>
      <c r="E83" s="223">
        <f t="shared" si="11"/>
        <v>0.78143716345410952</v>
      </c>
      <c r="F83" s="22">
        <f>(VLOOKUP(B83,DATA!A:AW,24,FALSE))/1</f>
        <v>11.294</v>
      </c>
      <c r="G83" s="22">
        <f>(VLOOKUP(B83,DATA!A:AX,25,FALSE))/1</f>
        <v>20.7</v>
      </c>
      <c r="H83" s="23">
        <f t="shared" si="9"/>
        <v>9.4059999999999988</v>
      </c>
      <c r="I83" s="22">
        <f>(VLOOKUP(B83,DATA!A:AZ,12,FALSE))/1</f>
        <v>11.601000000000001</v>
      </c>
      <c r="J83" s="274">
        <v>1012.4498411819999</v>
      </c>
      <c r="K83" s="249">
        <f t="shared" si="10"/>
        <v>0.12686891956152715</v>
      </c>
      <c r="L83" s="24">
        <f t="shared" si="12"/>
        <v>1140.898258643</v>
      </c>
      <c r="M83" s="161">
        <f t="shared" si="13"/>
        <v>0.78143716345410952</v>
      </c>
      <c r="N83" s="219">
        <f t="shared" si="14"/>
        <v>0.12686891956152715</v>
      </c>
      <c r="O83" s="258" t="s">
        <v>344</v>
      </c>
      <c r="P83" s="258" t="str">
        <f>VLOOKUP(B83,DATA!$A$36:$AC$143,29,FALSE)</f>
        <v>'31-03-2020</v>
      </c>
    </row>
    <row r="84" spans="1:16" ht="12.75" x14ac:dyDescent="0.2">
      <c r="A84" s="6" t="s">
        <v>77</v>
      </c>
      <c r="B84" s="7" t="s">
        <v>248</v>
      </c>
      <c r="C84" s="22">
        <f>(VLOOKUP(B84,DATA!A:AT,4,FALSE))/1000000</f>
        <v>420</v>
      </c>
      <c r="D84" s="22">
        <f>VLOOKUP(B84,DATA!$A$36:$V$133,22,FALSE)/1000000</f>
        <v>313.66072256199999</v>
      </c>
      <c r="E84" s="223">
        <f t="shared" si="11"/>
        <v>0.74681124419523803</v>
      </c>
      <c r="F84" s="22">
        <f>(VLOOKUP(B84,DATA!A:AW,24,FALSE))/1</f>
        <v>11.304</v>
      </c>
      <c r="G84" s="22">
        <f>(VLOOKUP(B84,DATA!A:AX,25,FALSE))/1</f>
        <v>15.198</v>
      </c>
      <c r="H84" s="23">
        <f t="shared" si="9"/>
        <v>3.8940000000000001</v>
      </c>
      <c r="I84" s="22">
        <f>(VLOOKUP(B84,DATA!A:AZ,12,FALSE))/1</f>
        <v>12.98</v>
      </c>
      <c r="J84" s="274">
        <v>505.13892674999994</v>
      </c>
      <c r="K84" s="249">
        <f t="shared" si="10"/>
        <v>-0.37906048029191997</v>
      </c>
      <c r="L84" s="24">
        <f t="shared" si="12"/>
        <v>313.66072256199999</v>
      </c>
      <c r="M84" s="161">
        <f t="shared" si="13"/>
        <v>0.74681124419523803</v>
      </c>
      <c r="N84" s="219">
        <f t="shared" si="14"/>
        <v>-0.37906048029191997</v>
      </c>
      <c r="O84" s="322" t="s">
        <v>337</v>
      </c>
      <c r="P84" s="258" t="str">
        <f>VLOOKUP(B84,DATA!$A$36:$AC$143,29,FALSE)</f>
        <v>'24-03-2020</v>
      </c>
    </row>
    <row r="85" spans="1:16" ht="12.75" x14ac:dyDescent="0.2">
      <c r="A85" s="6" t="s">
        <v>78</v>
      </c>
      <c r="B85" s="25" t="s">
        <v>249</v>
      </c>
      <c r="C85" s="22">
        <f>(VLOOKUP(B85,DATA!A:AT,4,FALSE))/1000000</f>
        <v>1790</v>
      </c>
      <c r="D85" s="22">
        <f>VLOOKUP(B85,DATA!$A$36:$V$133,22,FALSE)/1000000</f>
        <v>1987.5777399999999</v>
      </c>
      <c r="E85" s="223">
        <f t="shared" si="11"/>
        <v>1.1103786256983239</v>
      </c>
      <c r="F85" s="22">
        <f>(VLOOKUP(B85,DATA!A:AW,24,FALSE))/1</f>
        <v>12.532999999999999</v>
      </c>
      <c r="G85" s="22">
        <f>(VLOOKUP(B85,DATA!A:AX,25,FALSE))/1</f>
        <v>18.329999999999998</v>
      </c>
      <c r="H85" s="23">
        <f t="shared" si="9"/>
        <v>5.7969999999999988</v>
      </c>
      <c r="I85" s="22">
        <f>(VLOOKUP(B85,DATA!A:AZ,12,FALSE))/1</f>
        <v>7.6689999999999996</v>
      </c>
      <c r="J85" s="274">
        <v>2206.3750599999998</v>
      </c>
      <c r="K85" s="249">
        <f t="shared" si="10"/>
        <v>-9.9165968636356822E-2</v>
      </c>
      <c r="L85" s="24">
        <f t="shared" si="12"/>
        <v>1987.5777399999999</v>
      </c>
      <c r="M85" s="161">
        <f t="shared" si="13"/>
        <v>1.1103786256983239</v>
      </c>
      <c r="N85" s="219">
        <f t="shared" si="14"/>
        <v>-9.9165968636356822E-2</v>
      </c>
      <c r="O85" s="258" t="s">
        <v>344</v>
      </c>
      <c r="P85" s="258" t="str">
        <f>VLOOKUP(B85,DATA!$A$36:$AC$143,29,FALSE)</f>
        <v>'31-03-2020</v>
      </c>
    </row>
    <row r="86" spans="1:16" ht="12.75" x14ac:dyDescent="0.2">
      <c r="A86" s="6" t="s">
        <v>331</v>
      </c>
      <c r="B86" s="25" t="s">
        <v>330</v>
      </c>
      <c r="C86" s="22">
        <f>IFERROR((VLOOKUP(B86,DATA!A:AT,4,FALSE))/1000000,0)</f>
        <v>150</v>
      </c>
      <c r="D86" s="22">
        <f>IFERROR(VLOOKUP(B86,DATA!$A$36:$V$133,22,FALSE)/1000000,0)</f>
        <v>135.45572272499999</v>
      </c>
      <c r="E86" s="223">
        <f t="shared" si="11"/>
        <v>0.90303815149999989</v>
      </c>
      <c r="F86" s="22">
        <f>IFERROR((VLOOKUP(B86,DATA!A:AW,24,FALSE))/1,0)</f>
        <v>10.916</v>
      </c>
      <c r="G86" s="22">
        <f>IFERROR((VLOOKUP(B86,DATA!A:AX,25,FALSE))/1,0)</f>
        <v>31.672999999999998</v>
      </c>
      <c r="H86" s="23">
        <f t="shared" si="9"/>
        <v>20.756999999999998</v>
      </c>
      <c r="I86" s="22">
        <f>IFERROR((VLOOKUP(B86,DATA!A:AZ,12,FALSE))/1,0)</f>
        <v>13.359</v>
      </c>
      <c r="J86" s="274">
        <v>0</v>
      </c>
      <c r="K86" s="249" t="e">
        <f t="shared" si="10"/>
        <v>#DIV/0!</v>
      </c>
      <c r="L86" s="24">
        <f t="shared" si="12"/>
        <v>135.45572272499999</v>
      </c>
      <c r="M86" s="161">
        <f t="shared" si="13"/>
        <v>0.90303815149999989</v>
      </c>
      <c r="N86" s="219">
        <f t="shared" si="14"/>
        <v>0</v>
      </c>
      <c r="O86" s="322" t="s">
        <v>346</v>
      </c>
      <c r="P86" s="258" t="str">
        <f>VLOOKUP(B86,DATA!$A$36:$AC$143,29,FALSE)</f>
        <v>'30-03-2020</v>
      </c>
    </row>
    <row r="87" spans="1:16" ht="12.75" x14ac:dyDescent="0.2">
      <c r="A87" s="6" t="s">
        <v>135</v>
      </c>
      <c r="B87" s="25" t="s">
        <v>302</v>
      </c>
      <c r="C87" s="22">
        <f>(VLOOKUP(B87,DATA!A:AT,4,FALSE))/1000000</f>
        <v>5010</v>
      </c>
      <c r="D87" s="22">
        <f>VLOOKUP(B87,DATA!$A$36:$V$133,22,FALSE)/1000000</f>
        <v>1781.7269429999999</v>
      </c>
      <c r="E87" s="223">
        <f t="shared" si="11"/>
        <v>0.35563412035928144</v>
      </c>
      <c r="F87" s="22">
        <f>(VLOOKUP(B87,DATA!A:AW,24,FALSE))/1</f>
        <v>2.052</v>
      </c>
      <c r="G87" s="22">
        <f>(VLOOKUP(B87,DATA!A:AX,25,FALSE))/1</f>
        <v>-10.912000000000001</v>
      </c>
      <c r="H87" s="23">
        <f t="shared" ref="H87" si="16">G87-F87</f>
        <v>-12.964</v>
      </c>
      <c r="I87" s="22">
        <f>(VLOOKUP(B87,DATA!A:AZ,12,FALSE))/1</f>
        <v>0</v>
      </c>
      <c r="J87" s="274">
        <v>3255.8697371999997</v>
      </c>
      <c r="K87" s="249">
        <v>0</v>
      </c>
      <c r="L87" s="24">
        <f t="shared" si="12"/>
        <v>1781.7269429999999</v>
      </c>
      <c r="M87" s="161">
        <f t="shared" si="13"/>
        <v>0.35563412035928144</v>
      </c>
      <c r="N87" s="219">
        <f t="shared" si="14"/>
        <v>-0.45276467217258543</v>
      </c>
      <c r="O87" s="258" t="s">
        <v>346</v>
      </c>
      <c r="P87" s="258" t="str">
        <f>VLOOKUP(B87,DATA!$A$36:$AC$143,29,FALSE)</f>
        <v>'30-03-2020</v>
      </c>
    </row>
    <row r="88" spans="1:16" s="19" customFormat="1" ht="12.75" x14ac:dyDescent="0.2">
      <c r="A88" s="250"/>
      <c r="B88" s="251" t="s">
        <v>205</v>
      </c>
      <c r="C88" s="252">
        <f>'SLS MD'!D17/1000000</f>
        <v>118209.9</v>
      </c>
      <c r="D88" s="252">
        <f>'SLS MD'!E17/1000000</f>
        <v>98394.779716048011</v>
      </c>
      <c r="E88" s="253">
        <f>'SLS MD'!F17</f>
        <v>0.83237342824964744</v>
      </c>
      <c r="F88" s="252">
        <f>DATA!X23</f>
        <v>12.4989046993187</v>
      </c>
      <c r="G88" s="252">
        <f>'SLS MD'!G17</f>
        <v>13.497999999999999</v>
      </c>
      <c r="H88" s="255">
        <f t="shared" si="9"/>
        <v>0.99909530068129904</v>
      </c>
      <c r="I88" s="252">
        <f>'SLS MD'!H17</f>
        <v>10.4723680623469</v>
      </c>
      <c r="J88" s="254">
        <f>'SLS MD'!J17/1000000</f>
        <v>117083.87944794999</v>
      </c>
      <c r="K88" s="256">
        <f t="shared" si="10"/>
        <v>-0.15962145958966348</v>
      </c>
      <c r="L88" s="254">
        <f>'SLS MD'!M17/1000000</f>
        <v>98394.779716048011</v>
      </c>
      <c r="M88" s="257">
        <f>'SLS MD'!N17</f>
        <v>0.83237342824964744</v>
      </c>
      <c r="N88" s="219">
        <f t="shared" si="14"/>
        <v>-0.15962145958966348</v>
      </c>
      <c r="O88" s="258"/>
      <c r="P88" s="258"/>
    </row>
    <row r="89" spans="1:16" s="10" customFormat="1" ht="6.75" customHeight="1" x14ac:dyDescent="0.2">
      <c r="C89" s="26"/>
      <c r="D89" s="26"/>
      <c r="E89" s="224"/>
      <c r="F89" s="26"/>
      <c r="G89" s="26"/>
      <c r="H89" s="26"/>
      <c r="I89" s="26"/>
      <c r="J89" s="26"/>
      <c r="K89" s="164"/>
      <c r="L89" s="26"/>
      <c r="M89" s="159"/>
      <c r="O89" s="9"/>
    </row>
    <row r="90" spans="1:16" ht="11.25" customHeight="1" x14ac:dyDescent="0.2">
      <c r="B90" s="11" t="s">
        <v>142</v>
      </c>
      <c r="C90" s="1" t="s">
        <v>148</v>
      </c>
      <c r="F90" s="14" t="s">
        <v>141</v>
      </c>
      <c r="K90" s="212" t="e">
        <v>#REF!</v>
      </c>
    </row>
  </sheetData>
  <sortState ref="A5:W103">
    <sortCondition ref="A5:A103"/>
  </sortState>
  <phoneticPr fontId="46" type="noConversion"/>
  <conditionalFormatting sqref="M5:M88">
    <cfRule type="cellIs" dxfId="10" priority="132" operator="lessThan">
      <formula>100%</formula>
    </cfRule>
  </conditionalFormatting>
  <conditionalFormatting sqref="N5:N87">
    <cfRule type="cellIs" dxfId="9" priority="14" operator="lessThan">
      <formula>0</formula>
    </cfRule>
    <cfRule type="cellIs" dxfId="8" priority="117" operator="lessThan">
      <formula>0</formula>
    </cfRule>
    <cfRule type="cellIs" dxfId="7" priority="130" operator="lessThan">
      <formula>-0.1</formula>
    </cfRule>
    <cfRule type="cellIs" dxfId="6" priority="131" operator="lessThan">
      <formula>-0.15</formula>
    </cfRule>
  </conditionalFormatting>
  <conditionalFormatting sqref="K5:K88 H5:H88">
    <cfRule type="cellIs" dxfId="5" priority="127" operator="lessThan">
      <formula>0</formula>
    </cfRule>
  </conditionalFormatting>
  <conditionalFormatting sqref="K5:K88">
    <cfRule type="cellIs" dxfId="4" priority="123" operator="lessThan">
      <formula>-10</formula>
    </cfRule>
  </conditionalFormatting>
  <conditionalFormatting sqref="N88">
    <cfRule type="cellIs" dxfId="3" priority="9" operator="lessThan">
      <formula>0</formula>
    </cfRule>
    <cfRule type="cellIs" dxfId="2" priority="10" operator="lessThan">
      <formula>0</formula>
    </cfRule>
    <cfRule type="cellIs" dxfId="1" priority="11" operator="lessThan">
      <formula>-0.1</formula>
    </cfRule>
    <cfRule type="cellIs" dxfId="0" priority="12" operator="lessThan">
      <formula>-0.15</formula>
    </cfRule>
  </conditionalFormatting>
  <pageMargins left="0.39" right="0.24" top="0.24" bottom="0.3" header="0" footer="0"/>
  <pageSetup scale="74" fitToHeight="0" orientation="landscape" copies="2" r:id="rId1"/>
  <headerFooter>
    <oddFooter>&amp;L&amp;"-,Regular"&amp;8&amp;Z&amp;F&amp;R&amp;8&amp;D|&amp;T</oddFooter>
  </headerFooter>
  <rowBreaks count="1" manualBreakCount="1">
    <brk id="48" max="14" man="1"/>
  </rowBreaks>
  <ignoredErrors>
    <ignoredError sqref="C86:D86 F86:G86 I8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66"/>
  <sheetViews>
    <sheetView topLeftCell="K118" zoomScale="85" zoomScaleNormal="85" workbookViewId="0">
      <selection activeCell="A144" sqref="A144:AI166"/>
    </sheetView>
  </sheetViews>
  <sheetFormatPr defaultColWidth="11.42578125" defaultRowHeight="12.75" x14ac:dyDescent="0.2"/>
  <cols>
    <col min="1" max="1" width="11.42578125" style="295"/>
    <col min="2" max="2" width="18.7109375" style="295" customWidth="1"/>
    <col min="3" max="3" width="13.85546875" style="295" bestFit="1" customWidth="1"/>
    <col min="4" max="4" width="18" style="295" customWidth="1"/>
    <col min="5" max="5" width="12" style="295" bestFit="1" customWidth="1"/>
    <col min="6" max="6" width="16" style="295" bestFit="1" customWidth="1"/>
    <col min="7" max="7" width="15" style="295" bestFit="1" customWidth="1"/>
    <col min="8" max="9" width="12" style="295" bestFit="1" customWidth="1"/>
    <col min="10" max="10" width="15" style="295" bestFit="1" customWidth="1"/>
    <col min="11" max="13" width="12" style="295" bestFit="1" customWidth="1"/>
    <col min="14" max="14" width="13.85546875" style="295" bestFit="1" customWidth="1"/>
    <col min="15" max="15" width="12.7109375" style="295" bestFit="1" customWidth="1"/>
    <col min="16" max="17" width="12" style="295" bestFit="1" customWidth="1"/>
    <col min="18" max="18" width="12.7109375" style="295" bestFit="1" customWidth="1"/>
    <col min="19" max="19" width="12" style="295" bestFit="1" customWidth="1"/>
    <col min="20" max="20" width="12.28515625" style="295" bestFit="1" customWidth="1"/>
    <col min="21" max="21" width="12" style="295" bestFit="1" customWidth="1"/>
    <col min="22" max="22" width="12.28515625" style="295" bestFit="1" customWidth="1"/>
    <col min="23" max="23" width="12.7109375" style="295" bestFit="1" customWidth="1"/>
    <col min="24" max="25" width="12" style="295" bestFit="1" customWidth="1"/>
    <col min="26" max="26" width="15" style="295" bestFit="1" customWidth="1"/>
    <col min="27" max="28" width="12" style="295" bestFit="1" customWidth="1"/>
    <col min="29" max="30" width="11.5703125" style="295" bestFit="1" customWidth="1"/>
    <col min="31" max="31" width="12.28515625" style="295" bestFit="1" customWidth="1"/>
    <col min="32" max="32" width="11.5703125" style="295" bestFit="1" customWidth="1"/>
    <col min="33" max="33" width="12.7109375" style="295" bestFit="1" customWidth="1"/>
    <col min="34" max="34" width="15.42578125" style="295" bestFit="1" customWidth="1"/>
    <col min="35" max="36" width="11.5703125" style="295" bestFit="1" customWidth="1"/>
    <col min="37" max="16384" width="11.42578125" style="295"/>
  </cols>
  <sheetData>
    <row r="1" spans="1:31" x14ac:dyDescent="0.2">
      <c r="A1" s="295" t="s">
        <v>342</v>
      </c>
      <c r="C1" s="295" t="s">
        <v>343</v>
      </c>
    </row>
    <row r="2" spans="1:31" x14ac:dyDescent="0.2">
      <c r="A2" s="295" t="s">
        <v>285</v>
      </c>
    </row>
    <row r="4" spans="1:31" x14ac:dyDescent="0.2">
      <c r="A4" s="295" t="s">
        <v>333</v>
      </c>
    </row>
    <row r="6" spans="1:31" x14ac:dyDescent="0.2">
      <c r="A6" s="295" t="s">
        <v>0</v>
      </c>
      <c r="B6" s="295" t="s">
        <v>161</v>
      </c>
      <c r="C6" s="295" t="s">
        <v>162</v>
      </c>
      <c r="D6" s="295" t="s">
        <v>163</v>
      </c>
      <c r="E6" s="295" t="s">
        <v>164</v>
      </c>
      <c r="F6" s="295" t="s">
        <v>161</v>
      </c>
      <c r="G6" s="295" t="b">
        <v>1</v>
      </c>
      <c r="H6" s="295" t="s">
        <v>163</v>
      </c>
    </row>
    <row r="7" spans="1:31" x14ac:dyDescent="0.2">
      <c r="A7" s="295" t="s">
        <v>285</v>
      </c>
    </row>
    <row r="8" spans="1:31" x14ac:dyDescent="0.2">
      <c r="A8" s="295" t="s">
        <v>0</v>
      </c>
      <c r="B8" s="295" t="s">
        <v>165</v>
      </c>
      <c r="C8" s="295" t="s">
        <v>166</v>
      </c>
      <c r="D8" s="295" t="s">
        <v>167</v>
      </c>
      <c r="E8" s="295" t="s">
        <v>168</v>
      </c>
      <c r="F8" s="295" t="s">
        <v>169</v>
      </c>
      <c r="G8" s="295" t="s">
        <v>170</v>
      </c>
      <c r="H8" s="295" t="s">
        <v>171</v>
      </c>
      <c r="I8" s="295" t="s">
        <v>172</v>
      </c>
      <c r="J8" s="295" t="s">
        <v>173</v>
      </c>
      <c r="K8" s="295" t="s">
        <v>174</v>
      </c>
      <c r="L8" s="295" t="s">
        <v>175</v>
      </c>
      <c r="M8" s="295" t="s">
        <v>176</v>
      </c>
      <c r="N8" s="295" t="s">
        <v>177</v>
      </c>
      <c r="O8" s="295" t="s">
        <v>178</v>
      </c>
      <c r="P8" s="295" t="s">
        <v>179</v>
      </c>
      <c r="Q8" s="295" t="s">
        <v>180</v>
      </c>
      <c r="R8" s="295" t="s">
        <v>181</v>
      </c>
      <c r="S8" s="295" t="s">
        <v>182</v>
      </c>
      <c r="T8" s="295" t="s">
        <v>183</v>
      </c>
      <c r="U8" s="295" t="s">
        <v>184</v>
      </c>
      <c r="V8" s="295" t="s">
        <v>185</v>
      </c>
      <c r="W8" s="295" t="s">
        <v>186</v>
      </c>
      <c r="X8" s="295" t="s">
        <v>187</v>
      </c>
      <c r="Y8" s="295" t="s">
        <v>188</v>
      </c>
      <c r="Z8" s="295" t="s">
        <v>189</v>
      </c>
      <c r="AA8" s="295" t="s">
        <v>190</v>
      </c>
      <c r="AB8" s="295" t="s">
        <v>191</v>
      </c>
      <c r="AC8" s="295" t="s">
        <v>192</v>
      </c>
    </row>
    <row r="10" spans="1:31" x14ac:dyDescent="0.2">
      <c r="A10" s="295" t="s">
        <v>193</v>
      </c>
    </row>
    <row r="11" spans="1:31" x14ac:dyDescent="0.2">
      <c r="A11" s="295" t="s">
        <v>194</v>
      </c>
      <c r="B11" s="295">
        <v>3341800000</v>
      </c>
      <c r="C11" s="295">
        <v>694800000</v>
      </c>
      <c r="D11" s="295">
        <v>4036600000</v>
      </c>
      <c r="E11" s="295">
        <v>49934</v>
      </c>
      <c r="F11" s="295">
        <v>2067256044.8299999</v>
      </c>
      <c r="G11" s="295">
        <v>995968100</v>
      </c>
      <c r="H11" s="295">
        <v>28.495999999999999</v>
      </c>
      <c r="I11" s="295">
        <v>24.579000000000001</v>
      </c>
      <c r="J11" s="295">
        <v>508114588.75999999</v>
      </c>
      <c r="K11" s="295">
        <v>61.860999999999997</v>
      </c>
      <c r="L11" s="295">
        <v>48.177999999999997</v>
      </c>
      <c r="M11" s="295">
        <v>4389</v>
      </c>
      <c r="N11" s="295">
        <v>356082062.72299999</v>
      </c>
      <c r="O11" s="295">
        <v>124010908</v>
      </c>
      <c r="P11" s="295">
        <v>25.536999999999999</v>
      </c>
      <c r="Q11" s="295">
        <v>21.138999999999999</v>
      </c>
      <c r="R11" s="295">
        <v>75270434.702999994</v>
      </c>
      <c r="S11" s="295">
        <v>51.25</v>
      </c>
      <c r="T11" s="295">
        <v>34.826000000000001</v>
      </c>
      <c r="U11" s="295">
        <v>54323</v>
      </c>
      <c r="V11" s="295">
        <v>2423338107.553</v>
      </c>
      <c r="W11" s="295">
        <v>1119979008</v>
      </c>
      <c r="X11" s="295">
        <v>27.986999999999998</v>
      </c>
      <c r="Y11" s="295">
        <v>24.074000000000002</v>
      </c>
      <c r="Z11" s="295">
        <v>583385023.46300006</v>
      </c>
      <c r="AA11" s="295">
        <v>60.033999999999999</v>
      </c>
      <c r="AB11" s="295">
        <v>46.216000000000001</v>
      </c>
      <c r="AC11" s="295" t="s">
        <v>344</v>
      </c>
      <c r="AE11" s="295">
        <v>298467.27299999999</v>
      </c>
    </row>
    <row r="12" spans="1:31" x14ac:dyDescent="0.2">
      <c r="A12" s="295" t="s">
        <v>195</v>
      </c>
      <c r="B12" s="295">
        <v>1220100000</v>
      </c>
      <c r="C12" s="295">
        <v>626300000</v>
      </c>
      <c r="D12" s="295">
        <v>1846400000</v>
      </c>
      <c r="E12" s="295">
        <v>41265</v>
      </c>
      <c r="F12" s="295">
        <v>634134038.71800005</v>
      </c>
      <c r="G12" s="295">
        <v>108340117</v>
      </c>
      <c r="H12" s="295">
        <v>29.27</v>
      </c>
      <c r="I12" s="295">
        <v>32.658000000000001</v>
      </c>
      <c r="J12" s="295">
        <v>207092401.34799999</v>
      </c>
      <c r="K12" s="295">
        <v>51.973999999999997</v>
      </c>
      <c r="L12" s="295">
        <v>17.085000000000001</v>
      </c>
      <c r="M12" s="295">
        <v>31908</v>
      </c>
      <c r="N12" s="295">
        <v>394142452.91500002</v>
      </c>
      <c r="O12" s="295">
        <v>110825</v>
      </c>
      <c r="P12" s="295">
        <v>25.466000000000001</v>
      </c>
      <c r="Q12" s="295">
        <v>20.739000000000001</v>
      </c>
      <c r="R12" s="295">
        <v>81739286.674999997</v>
      </c>
      <c r="S12" s="295">
        <v>62.932000000000002</v>
      </c>
      <c r="T12" s="295">
        <v>2.8000000000000001E-2</v>
      </c>
      <c r="U12" s="295">
        <v>73173</v>
      </c>
      <c r="V12" s="295">
        <v>1028276491.633</v>
      </c>
      <c r="W12" s="295">
        <v>108450942</v>
      </c>
      <c r="X12" s="295">
        <v>27.978999999999999</v>
      </c>
      <c r="Y12" s="295">
        <v>28.088999999999999</v>
      </c>
      <c r="Z12" s="295">
        <v>288831688.023</v>
      </c>
      <c r="AA12" s="295">
        <v>55.691000000000003</v>
      </c>
      <c r="AB12" s="295">
        <v>10.547000000000001</v>
      </c>
      <c r="AC12" s="295" t="s">
        <v>344</v>
      </c>
    </row>
    <row r="13" spans="1:31" x14ac:dyDescent="0.2">
      <c r="A13" s="295" t="s">
        <v>196</v>
      </c>
      <c r="B13" s="295">
        <v>3714300000</v>
      </c>
      <c r="C13" s="295">
        <v>681000000</v>
      </c>
      <c r="D13" s="295">
        <v>4395300000</v>
      </c>
      <c r="E13" s="295">
        <v>70287</v>
      </c>
      <c r="F13" s="295">
        <v>2607442095.2719998</v>
      </c>
      <c r="G13" s="295">
        <v>702217079</v>
      </c>
      <c r="H13" s="295">
        <v>28.084</v>
      </c>
      <c r="I13" s="295">
        <v>26.114000000000001</v>
      </c>
      <c r="J13" s="295">
        <v>680920167.14199996</v>
      </c>
      <c r="K13" s="295">
        <v>70.2</v>
      </c>
      <c r="L13" s="295">
        <v>26.931000000000001</v>
      </c>
      <c r="M13" s="295">
        <v>11257</v>
      </c>
      <c r="N13" s="295">
        <v>839067899.99899995</v>
      </c>
      <c r="O13" s="295">
        <v>807521220</v>
      </c>
      <c r="P13" s="295">
        <v>24.248999999999999</v>
      </c>
      <c r="Q13" s="295">
        <v>24.175999999999998</v>
      </c>
      <c r="R13" s="295">
        <v>202849752.93900001</v>
      </c>
      <c r="S13" s="295">
        <v>123.211</v>
      </c>
      <c r="T13" s="295">
        <v>96.24</v>
      </c>
      <c r="U13" s="295">
        <v>81544</v>
      </c>
      <c r="V13" s="295">
        <v>3446509995.2709999</v>
      </c>
      <c r="W13" s="295">
        <v>1509738299</v>
      </c>
      <c r="X13" s="295">
        <v>27.49</v>
      </c>
      <c r="Y13" s="295">
        <v>25.641999999999999</v>
      </c>
      <c r="Z13" s="295">
        <v>883769920.08099997</v>
      </c>
      <c r="AA13" s="295">
        <v>78.414000000000001</v>
      </c>
      <c r="AB13" s="295">
        <v>43.805</v>
      </c>
      <c r="AC13" s="295" t="s">
        <v>344</v>
      </c>
    </row>
    <row r="14" spans="1:31" x14ac:dyDescent="0.2">
      <c r="A14" s="295" t="s">
        <v>197</v>
      </c>
      <c r="B14" s="295">
        <v>4112700000</v>
      </c>
      <c r="C14" s="295">
        <v>100900000</v>
      </c>
      <c r="D14" s="295">
        <v>4213600000</v>
      </c>
      <c r="E14" s="295">
        <v>97252</v>
      </c>
      <c r="F14" s="295">
        <v>2766408888.0619998</v>
      </c>
      <c r="G14" s="295">
        <v>866901103</v>
      </c>
      <c r="H14" s="295">
        <v>29.556999999999999</v>
      </c>
      <c r="I14" s="295">
        <v>27.553000000000001</v>
      </c>
      <c r="J14" s="295">
        <v>762231972.43200004</v>
      </c>
      <c r="K14" s="295">
        <v>67.265000000000001</v>
      </c>
      <c r="L14" s="295">
        <v>31.337</v>
      </c>
      <c r="M14" s="295">
        <v>6082</v>
      </c>
      <c r="N14" s="295">
        <v>119910818.176</v>
      </c>
      <c r="O14" s="295">
        <v>10617520</v>
      </c>
      <c r="P14" s="295">
        <v>26.51</v>
      </c>
      <c r="Q14" s="295">
        <v>28.030999999999999</v>
      </c>
      <c r="R14" s="295">
        <v>33611667.255999997</v>
      </c>
      <c r="S14" s="295">
        <v>118.84099999999999</v>
      </c>
      <c r="T14" s="295">
        <v>8.8550000000000004</v>
      </c>
      <c r="U14" s="295">
        <v>103334</v>
      </c>
      <c r="V14" s="295">
        <v>2886319706.2379999</v>
      </c>
      <c r="W14" s="295">
        <v>877518623</v>
      </c>
      <c r="X14" s="295">
        <v>29.484999999999999</v>
      </c>
      <c r="Y14" s="295">
        <v>27.573</v>
      </c>
      <c r="Z14" s="295">
        <v>795843639.68799996</v>
      </c>
      <c r="AA14" s="295">
        <v>68.5</v>
      </c>
      <c r="AB14" s="295">
        <v>30.402999999999999</v>
      </c>
      <c r="AC14" s="295" t="s">
        <v>344</v>
      </c>
    </row>
    <row r="15" spans="1:31" x14ac:dyDescent="0.2">
      <c r="A15" s="295" t="s">
        <v>198</v>
      </c>
      <c r="B15" s="295">
        <v>4372400000</v>
      </c>
      <c r="C15" s="295">
        <v>109200000</v>
      </c>
      <c r="D15" s="295">
        <v>4481600000</v>
      </c>
      <c r="E15" s="295">
        <v>73595</v>
      </c>
      <c r="F15" s="295">
        <v>3060347582.6690001</v>
      </c>
      <c r="G15" s="295">
        <v>445754654</v>
      </c>
      <c r="H15" s="295">
        <v>19.279</v>
      </c>
      <c r="I15" s="295">
        <v>24.251000000000001</v>
      </c>
      <c r="J15" s="295">
        <v>742170888.95899999</v>
      </c>
      <c r="K15" s="295">
        <v>69.992000000000004</v>
      </c>
      <c r="L15" s="295">
        <v>14.565</v>
      </c>
      <c r="M15" s="295">
        <v>749</v>
      </c>
      <c r="N15" s="295">
        <v>31325454.546</v>
      </c>
      <c r="O15" s="295">
        <v>0</v>
      </c>
      <c r="P15" s="295">
        <v>17.331</v>
      </c>
      <c r="Q15" s="295">
        <v>13.975</v>
      </c>
      <c r="R15" s="295">
        <v>4377739.8959999997</v>
      </c>
      <c r="S15" s="295">
        <v>28.686</v>
      </c>
      <c r="T15" s="295">
        <v>0</v>
      </c>
      <c r="U15" s="295">
        <v>74344</v>
      </c>
      <c r="V15" s="295">
        <v>3091673037.2150002</v>
      </c>
      <c r="W15" s="295">
        <v>445754654</v>
      </c>
      <c r="X15" s="295">
        <v>19.231000000000002</v>
      </c>
      <c r="Y15" s="295">
        <v>24.146999999999998</v>
      </c>
      <c r="Z15" s="295">
        <v>746548628.85500002</v>
      </c>
      <c r="AA15" s="295">
        <v>68.986000000000004</v>
      </c>
      <c r="AB15" s="295">
        <v>14.417999999999999</v>
      </c>
      <c r="AC15" s="295" t="s">
        <v>344</v>
      </c>
    </row>
    <row r="16" spans="1:31" x14ac:dyDescent="0.2">
      <c r="A16" s="295" t="s">
        <v>199</v>
      </c>
      <c r="B16" s="295">
        <v>30567900000</v>
      </c>
      <c r="C16" s="295">
        <v>0</v>
      </c>
      <c r="D16" s="295">
        <v>30567900000</v>
      </c>
      <c r="E16" s="295">
        <v>2238674</v>
      </c>
      <c r="F16" s="295">
        <v>24716193814.213001</v>
      </c>
      <c r="G16" s="295">
        <v>1856253713</v>
      </c>
      <c r="H16" s="295">
        <v>11.255000000000001</v>
      </c>
      <c r="I16" s="295">
        <v>16.513999999999999</v>
      </c>
      <c r="J16" s="295">
        <v>4081694414.973</v>
      </c>
      <c r="K16" s="295">
        <v>80.856999999999999</v>
      </c>
      <c r="L16" s="295">
        <v>7.51</v>
      </c>
      <c r="M16" s="295">
        <v>27</v>
      </c>
      <c r="N16" s="295">
        <v>701590.90700000001</v>
      </c>
      <c r="O16" s="295">
        <v>13750</v>
      </c>
      <c r="P16" s="295">
        <v>0</v>
      </c>
      <c r="Q16" s="295">
        <v>25</v>
      </c>
      <c r="R16" s="295">
        <v>175398.18700000001</v>
      </c>
      <c r="S16" s="295">
        <v>0</v>
      </c>
      <c r="T16" s="295">
        <v>1.96</v>
      </c>
      <c r="U16" s="295">
        <v>2238701</v>
      </c>
      <c r="V16" s="295">
        <v>24716895405.119999</v>
      </c>
      <c r="W16" s="295">
        <v>1856267463</v>
      </c>
      <c r="X16" s="295">
        <v>11.255000000000001</v>
      </c>
      <c r="Y16" s="295">
        <v>16.513999999999999</v>
      </c>
      <c r="Z16" s="295">
        <v>4081869813.1599998</v>
      </c>
      <c r="AA16" s="295">
        <v>80.858999999999995</v>
      </c>
      <c r="AB16" s="295">
        <v>7.51</v>
      </c>
      <c r="AC16" s="295" t="s">
        <v>344</v>
      </c>
      <c r="AE16" s="296">
        <f>V16-AE11</f>
        <v>24716596937.847</v>
      </c>
    </row>
    <row r="17" spans="1:29" x14ac:dyDescent="0.2">
      <c r="A17" s="295" t="s">
        <v>200</v>
      </c>
      <c r="B17" s="295">
        <v>35065200000</v>
      </c>
      <c r="C17" s="295">
        <v>40000000</v>
      </c>
      <c r="D17" s="295">
        <v>35105200000</v>
      </c>
      <c r="E17" s="295">
        <v>5234654</v>
      </c>
      <c r="F17" s="295">
        <v>33488759587.424999</v>
      </c>
      <c r="G17" s="295">
        <v>3377866676</v>
      </c>
      <c r="H17" s="295">
        <v>7.7539999999999996</v>
      </c>
      <c r="I17" s="295">
        <v>12.891</v>
      </c>
      <c r="J17" s="295">
        <v>4317036740.5950003</v>
      </c>
      <c r="K17" s="295">
        <v>95.504000000000005</v>
      </c>
      <c r="L17" s="295">
        <v>10.087</v>
      </c>
      <c r="M17" s="295">
        <v>2033</v>
      </c>
      <c r="N17" s="295">
        <v>56529500</v>
      </c>
      <c r="O17" s="295">
        <v>0</v>
      </c>
      <c r="P17" s="295">
        <v>6.2939999999999996</v>
      </c>
      <c r="Q17" s="295">
        <v>5</v>
      </c>
      <c r="R17" s="295">
        <v>2826475</v>
      </c>
      <c r="S17" s="295">
        <v>141.32400000000001</v>
      </c>
      <c r="T17" s="295">
        <v>0</v>
      </c>
      <c r="U17" s="295">
        <v>5236687</v>
      </c>
      <c r="V17" s="295">
        <v>33545289087.424999</v>
      </c>
      <c r="W17" s="295">
        <v>3377866676</v>
      </c>
      <c r="X17" s="295">
        <v>7.7519999999999998</v>
      </c>
      <c r="Y17" s="295">
        <v>12.878</v>
      </c>
      <c r="Z17" s="295">
        <v>4319863215.5950003</v>
      </c>
      <c r="AA17" s="295">
        <v>95.555999999999997</v>
      </c>
      <c r="AB17" s="295">
        <v>10.07</v>
      </c>
      <c r="AC17" s="295" t="s">
        <v>344</v>
      </c>
    </row>
    <row r="18" spans="1:29" x14ac:dyDescent="0.2">
      <c r="A18" s="295" t="s">
        <v>201</v>
      </c>
      <c r="B18" s="295">
        <v>16053100000</v>
      </c>
      <c r="C18" s="295">
        <v>0</v>
      </c>
      <c r="D18" s="295">
        <v>16053100000</v>
      </c>
      <c r="E18" s="295">
        <v>1619058</v>
      </c>
      <c r="F18" s="295">
        <v>15041352401.733</v>
      </c>
      <c r="G18" s="295">
        <v>898548722</v>
      </c>
      <c r="H18" s="295">
        <v>7.4960000000000004</v>
      </c>
      <c r="I18" s="295">
        <v>10.096</v>
      </c>
      <c r="J18" s="295">
        <v>1518607520.1630001</v>
      </c>
      <c r="K18" s="295">
        <v>93.697000000000003</v>
      </c>
      <c r="L18" s="295">
        <v>5.9740000000000002</v>
      </c>
      <c r="M18" s="295">
        <v>131</v>
      </c>
      <c r="N18" s="295">
        <v>3221325</v>
      </c>
      <c r="O18" s="295">
        <v>0</v>
      </c>
      <c r="P18" s="295">
        <v>0</v>
      </c>
      <c r="Q18" s="295">
        <v>5</v>
      </c>
      <c r="R18" s="295">
        <v>161066.25</v>
      </c>
      <c r="S18" s="295">
        <v>0</v>
      </c>
      <c r="T18" s="295">
        <v>0</v>
      </c>
      <c r="U18" s="295">
        <v>1619189</v>
      </c>
      <c r="V18" s="295">
        <v>15044573726.733</v>
      </c>
      <c r="W18" s="295">
        <v>898548722</v>
      </c>
      <c r="X18" s="295">
        <v>7.4960000000000004</v>
      </c>
      <c r="Y18" s="295">
        <v>10.095000000000001</v>
      </c>
      <c r="Z18" s="295">
        <v>1518768586.4130001</v>
      </c>
      <c r="AA18" s="295">
        <v>93.718000000000004</v>
      </c>
      <c r="AB18" s="295">
        <v>5.9729999999999999</v>
      </c>
      <c r="AC18" s="295" t="s">
        <v>344</v>
      </c>
    </row>
    <row r="19" spans="1:29" x14ac:dyDescent="0.2">
      <c r="A19" s="295" t="s">
        <v>202</v>
      </c>
      <c r="B19" s="295">
        <v>17500200000</v>
      </c>
      <c r="C19" s="295">
        <v>10000000</v>
      </c>
      <c r="D19" s="295">
        <v>17510200000</v>
      </c>
      <c r="E19" s="295">
        <v>559026.47900000005</v>
      </c>
      <c r="F19" s="295">
        <v>12198515658.860001</v>
      </c>
      <c r="G19" s="295">
        <v>110139099</v>
      </c>
      <c r="H19" s="295">
        <v>13.997999999999999</v>
      </c>
      <c r="I19" s="295">
        <v>0.48399999999999999</v>
      </c>
      <c r="J19" s="295">
        <v>59031581.530000001</v>
      </c>
      <c r="K19" s="295">
        <v>69.704999999999998</v>
      </c>
      <c r="L19" s="295">
        <v>0.90300000000000002</v>
      </c>
      <c r="M19" s="295">
        <v>1673</v>
      </c>
      <c r="N19" s="295">
        <v>13388500</v>
      </c>
      <c r="O19" s="295">
        <v>0</v>
      </c>
      <c r="P19" s="295">
        <v>13.881</v>
      </c>
      <c r="Q19" s="295">
        <v>25</v>
      </c>
      <c r="R19" s="295">
        <v>3347125</v>
      </c>
      <c r="S19" s="295">
        <v>133.88499999999999</v>
      </c>
      <c r="T19" s="295">
        <v>0</v>
      </c>
      <c r="U19" s="295">
        <v>560699.47900000005</v>
      </c>
      <c r="V19" s="295">
        <v>12211904158.860001</v>
      </c>
      <c r="W19" s="295">
        <v>110139099</v>
      </c>
      <c r="X19" s="295">
        <v>13.997999999999999</v>
      </c>
      <c r="Y19" s="295">
        <v>0.51100000000000001</v>
      </c>
      <c r="Z19" s="295">
        <v>62378706.530000001</v>
      </c>
      <c r="AA19" s="295">
        <v>69.742000000000004</v>
      </c>
      <c r="AB19" s="295">
        <v>0.90200000000000002</v>
      </c>
      <c r="AC19" s="295" t="s">
        <v>344</v>
      </c>
    </row>
    <row r="20" spans="1:29" x14ac:dyDescent="0.2">
      <c r="A20" s="295" t="s">
        <v>203</v>
      </c>
      <c r="B20" s="295">
        <v>115947700000</v>
      </c>
      <c r="C20" s="295">
        <v>2262200000</v>
      </c>
      <c r="D20" s="295">
        <v>118209900000</v>
      </c>
      <c r="E20" s="295">
        <v>9983745.4790000003</v>
      </c>
      <c r="F20" s="295">
        <v>96580410111.781998</v>
      </c>
      <c r="G20" s="295">
        <v>9361989263</v>
      </c>
      <c r="H20" s="295">
        <v>12.266999999999999</v>
      </c>
      <c r="I20" s="295">
        <v>13.333</v>
      </c>
      <c r="J20" s="295">
        <v>12876900275.902</v>
      </c>
      <c r="K20" s="295">
        <v>83.296999999999997</v>
      </c>
      <c r="L20" s="295">
        <v>9.6929999999999996</v>
      </c>
      <c r="M20" s="295">
        <v>58249</v>
      </c>
      <c r="N20" s="295">
        <v>1814369604.266</v>
      </c>
      <c r="O20" s="295">
        <v>942274223</v>
      </c>
      <c r="P20" s="295">
        <v>24.385000000000002</v>
      </c>
      <c r="Q20" s="295">
        <v>22.286000000000001</v>
      </c>
      <c r="R20" s="295">
        <v>404358945.90600002</v>
      </c>
      <c r="S20" s="295">
        <v>80.203999999999994</v>
      </c>
      <c r="T20" s="295">
        <v>51.933999999999997</v>
      </c>
      <c r="U20" s="295">
        <v>10041994.479</v>
      </c>
      <c r="V20" s="295">
        <v>98394779716.048004</v>
      </c>
      <c r="W20" s="295">
        <v>10304263486</v>
      </c>
      <c r="X20" s="295">
        <v>12.499000000000001</v>
      </c>
      <c r="Y20" s="295">
        <v>13.497999999999999</v>
      </c>
      <c r="Z20" s="295">
        <v>13281259221.808001</v>
      </c>
      <c r="AA20" s="295">
        <v>83.236999999999995</v>
      </c>
      <c r="AB20" s="295">
        <v>10.472</v>
      </c>
    </row>
    <row r="22" spans="1:29" x14ac:dyDescent="0.2">
      <c r="A22" s="295" t="s">
        <v>204</v>
      </c>
      <c r="B22" s="295">
        <v>115947700000</v>
      </c>
      <c r="C22" s="295">
        <v>2262200000</v>
      </c>
      <c r="D22" s="295">
        <v>118209900000</v>
      </c>
      <c r="E22" s="295">
        <v>9983745.4790000003</v>
      </c>
      <c r="F22" s="295">
        <v>96580410111.781998</v>
      </c>
      <c r="G22" s="295">
        <v>9361989263</v>
      </c>
      <c r="H22" s="295">
        <v>12.266999999999999</v>
      </c>
      <c r="I22" s="295">
        <v>13.333</v>
      </c>
      <c r="J22" s="295">
        <v>12876900275.902</v>
      </c>
      <c r="K22" s="295">
        <v>83.296999999999997</v>
      </c>
      <c r="L22" s="295">
        <v>9.6929999999999996</v>
      </c>
      <c r="M22" s="295">
        <v>58249</v>
      </c>
      <c r="N22" s="295">
        <v>1814369604.266</v>
      </c>
      <c r="O22" s="295">
        <v>942274223</v>
      </c>
      <c r="P22" s="295">
        <v>24.385000000000002</v>
      </c>
      <c r="Q22" s="295">
        <v>22.286000000000001</v>
      </c>
      <c r="R22" s="295">
        <v>404358945.90600002</v>
      </c>
      <c r="S22" s="295">
        <v>80.203999999999994</v>
      </c>
      <c r="T22" s="295">
        <v>51.933999999999997</v>
      </c>
      <c r="U22" s="295">
        <v>10041994.479</v>
      </c>
      <c r="V22" s="295">
        <v>98394779716.048004</v>
      </c>
      <c r="W22" s="295">
        <v>10304263486</v>
      </c>
      <c r="X22" s="295">
        <v>12.499000000000001</v>
      </c>
      <c r="Y22" s="295">
        <v>13.497999999999999</v>
      </c>
      <c r="Z22" s="295">
        <v>13281259221.808001</v>
      </c>
      <c r="AA22" s="295">
        <v>83.236999999999995</v>
      </c>
      <c r="AB22" s="295">
        <v>10.472</v>
      </c>
    </row>
    <row r="23" spans="1:29" x14ac:dyDescent="0.2">
      <c r="A23" s="295" t="s">
        <v>205</v>
      </c>
      <c r="B23" s="295">
        <v>115947700000</v>
      </c>
      <c r="C23" s="295">
        <v>2262200000</v>
      </c>
      <c r="D23" s="295">
        <v>118209900000</v>
      </c>
      <c r="E23" s="295">
        <v>9983745.4790000003</v>
      </c>
      <c r="F23" s="295">
        <v>96580410111.781998</v>
      </c>
      <c r="G23" s="295">
        <v>9361989263</v>
      </c>
      <c r="H23" s="295">
        <v>12.266999489252401</v>
      </c>
      <c r="I23" s="295">
        <v>13.3328283251213</v>
      </c>
      <c r="J23" s="295">
        <v>12876900275.901899</v>
      </c>
      <c r="K23" s="295">
        <v>83.296529479913701</v>
      </c>
      <c r="L23" s="295">
        <v>9.6934660477880001</v>
      </c>
      <c r="M23" s="295">
        <v>58249</v>
      </c>
      <c r="N23" s="295">
        <v>1814369604.266</v>
      </c>
      <c r="O23" s="295">
        <v>942274223</v>
      </c>
      <c r="P23" s="295">
        <v>24.3850667208911</v>
      </c>
      <c r="Q23" s="295">
        <v>22.286470460884001</v>
      </c>
      <c r="R23" s="295">
        <v>404358945.90600002</v>
      </c>
      <c r="S23" s="295">
        <v>80.203766433825393</v>
      </c>
      <c r="T23" s="295">
        <v>51.933973143316301</v>
      </c>
      <c r="U23" s="295">
        <v>10041994.479</v>
      </c>
      <c r="V23" s="295">
        <v>98394779716.048004</v>
      </c>
      <c r="W23" s="295">
        <v>10304263486</v>
      </c>
      <c r="X23" s="295">
        <v>12.4989046993187</v>
      </c>
      <c r="Y23" s="295">
        <v>13.497930744024799</v>
      </c>
      <c r="Z23" s="295">
        <v>13281259221.808001</v>
      </c>
      <c r="AA23" s="295">
        <v>83.237342824964699</v>
      </c>
      <c r="AB23" s="295">
        <v>10.4723680623469</v>
      </c>
    </row>
    <row r="26" spans="1:29" x14ac:dyDescent="0.2">
      <c r="A26" s="295" t="s">
        <v>342</v>
      </c>
      <c r="C26" s="295" t="s">
        <v>345</v>
      </c>
    </row>
    <row r="27" spans="1:29" x14ac:dyDescent="0.2">
      <c r="A27" s="295" t="s">
        <v>285</v>
      </c>
    </row>
    <row r="29" spans="1:29" x14ac:dyDescent="0.2">
      <c r="A29" s="295" t="s">
        <v>334</v>
      </c>
    </row>
    <row r="31" spans="1:29" x14ac:dyDescent="0.2">
      <c r="A31" s="295" t="s">
        <v>0</v>
      </c>
      <c r="B31" s="295" t="s">
        <v>161</v>
      </c>
      <c r="C31" s="295" t="s">
        <v>162</v>
      </c>
      <c r="D31" s="295" t="s">
        <v>163</v>
      </c>
      <c r="E31" s="295" t="s">
        <v>164</v>
      </c>
      <c r="F31" s="295" t="s">
        <v>161</v>
      </c>
      <c r="G31" s="295" t="b">
        <v>1</v>
      </c>
      <c r="H31" s="295" t="s">
        <v>163</v>
      </c>
    </row>
    <row r="32" spans="1:29" x14ac:dyDescent="0.2">
      <c r="A32" s="295" t="s">
        <v>285</v>
      </c>
    </row>
    <row r="33" spans="1:30" x14ac:dyDescent="0.2">
      <c r="A33" s="295" t="s">
        <v>206</v>
      </c>
      <c r="B33" s="295" t="s">
        <v>165</v>
      </c>
      <c r="C33" s="295" t="s">
        <v>166</v>
      </c>
      <c r="D33" s="295" t="s">
        <v>167</v>
      </c>
      <c r="E33" s="295" t="s">
        <v>168</v>
      </c>
      <c r="F33" s="295" t="s">
        <v>169</v>
      </c>
      <c r="G33" s="295" t="s">
        <v>170</v>
      </c>
      <c r="H33" s="295" t="s">
        <v>171</v>
      </c>
      <c r="I33" s="295" t="s">
        <v>172</v>
      </c>
      <c r="J33" s="295" t="s">
        <v>173</v>
      </c>
      <c r="K33" s="295" t="s">
        <v>174</v>
      </c>
      <c r="L33" s="295" t="s">
        <v>175</v>
      </c>
      <c r="M33" s="295" t="s">
        <v>176</v>
      </c>
      <c r="N33" s="295" t="s">
        <v>177</v>
      </c>
      <c r="O33" s="295" t="s">
        <v>178</v>
      </c>
      <c r="P33" s="295" t="s">
        <v>179</v>
      </c>
      <c r="Q33" s="295" t="s">
        <v>180</v>
      </c>
      <c r="R33" s="295" t="s">
        <v>181</v>
      </c>
      <c r="S33" s="295" t="s">
        <v>182</v>
      </c>
      <c r="T33" s="295" t="s">
        <v>183</v>
      </c>
      <c r="U33" s="295" t="s">
        <v>184</v>
      </c>
      <c r="V33" s="295" t="s">
        <v>185</v>
      </c>
      <c r="W33" s="295" t="s">
        <v>186</v>
      </c>
      <c r="X33" s="295" t="s">
        <v>187</v>
      </c>
      <c r="Y33" s="295" t="s">
        <v>188</v>
      </c>
      <c r="Z33" s="295" t="s">
        <v>189</v>
      </c>
      <c r="AA33" s="295" t="s">
        <v>190</v>
      </c>
      <c r="AB33" s="295" t="s">
        <v>191</v>
      </c>
      <c r="AC33" s="295" t="s">
        <v>192</v>
      </c>
    </row>
    <row r="35" spans="1:30" x14ac:dyDescent="0.2">
      <c r="A35" s="295" t="s">
        <v>207</v>
      </c>
    </row>
    <row r="36" spans="1:30" x14ac:dyDescent="0.2">
      <c r="A36" s="295" t="s">
        <v>290</v>
      </c>
      <c r="B36" s="295">
        <v>2340000000</v>
      </c>
      <c r="C36" s="295">
        <v>70000000</v>
      </c>
      <c r="D36" s="295">
        <v>2410000000</v>
      </c>
      <c r="E36" s="295">
        <v>150900.87599999999</v>
      </c>
      <c r="F36" s="295">
        <v>1354699232.9219999</v>
      </c>
      <c r="G36" s="295">
        <v>94329477</v>
      </c>
      <c r="H36" s="295">
        <v>10.803000000000001</v>
      </c>
      <c r="I36" s="295">
        <v>17.456</v>
      </c>
      <c r="J36" s="295">
        <v>236469569.072</v>
      </c>
      <c r="K36" s="295">
        <v>57.893000000000001</v>
      </c>
      <c r="L36" s="295">
        <v>6.9630000000000001</v>
      </c>
      <c r="M36" s="295">
        <v>787</v>
      </c>
      <c r="N36" s="295">
        <v>32616140</v>
      </c>
      <c r="O36" s="295">
        <v>20293867</v>
      </c>
      <c r="P36" s="295">
        <v>24.866</v>
      </c>
      <c r="Q36" s="295">
        <v>24.077000000000002</v>
      </c>
      <c r="R36" s="295">
        <v>7852897.7400000002</v>
      </c>
      <c r="S36" s="295">
        <v>46.594000000000001</v>
      </c>
      <c r="T36" s="295">
        <v>62.22</v>
      </c>
      <c r="U36" s="295">
        <v>151687.87599999999</v>
      </c>
      <c r="V36" s="295">
        <v>1387315372.9219999</v>
      </c>
      <c r="W36" s="295">
        <v>114623344</v>
      </c>
      <c r="X36" s="295">
        <v>11.212</v>
      </c>
      <c r="Y36" s="295">
        <v>17.611000000000001</v>
      </c>
      <c r="Z36" s="295">
        <v>244322466.81200001</v>
      </c>
      <c r="AA36" s="295">
        <v>57.564999999999998</v>
      </c>
      <c r="AB36" s="295">
        <v>8.2620000000000005</v>
      </c>
      <c r="AC36" s="295" t="s">
        <v>339</v>
      </c>
    </row>
    <row r="37" spans="1:30" x14ac:dyDescent="0.2">
      <c r="A37" s="295" t="s">
        <v>208</v>
      </c>
      <c r="B37" s="295">
        <v>1450000000</v>
      </c>
      <c r="C37" s="295">
        <v>40000000</v>
      </c>
      <c r="D37" s="295">
        <v>1490000000</v>
      </c>
      <c r="E37" s="295">
        <v>169457.08300000001</v>
      </c>
      <c r="F37" s="295">
        <v>997024421.30499995</v>
      </c>
      <c r="G37" s="295">
        <v>71215712</v>
      </c>
      <c r="H37" s="295">
        <v>10.510999999999999</v>
      </c>
      <c r="I37" s="295">
        <v>20.812000000000001</v>
      </c>
      <c r="J37" s="295">
        <v>207495867.935</v>
      </c>
      <c r="K37" s="295">
        <v>68.760000000000005</v>
      </c>
      <c r="L37" s="295">
        <v>7.1429999999999998</v>
      </c>
      <c r="M37" s="295">
        <v>1094</v>
      </c>
      <c r="N37" s="295">
        <v>17607281.817000002</v>
      </c>
      <c r="O37" s="295">
        <v>4049440</v>
      </c>
      <c r="P37" s="295">
        <v>24.870999999999999</v>
      </c>
      <c r="Q37" s="295">
        <v>22.135999999999999</v>
      </c>
      <c r="R37" s="295">
        <v>3897549.3169999998</v>
      </c>
      <c r="S37" s="295">
        <v>44.018000000000001</v>
      </c>
      <c r="T37" s="295">
        <v>22.998999999999999</v>
      </c>
      <c r="U37" s="295">
        <v>170551.08300000001</v>
      </c>
      <c r="V37" s="295">
        <v>1014631703.122</v>
      </c>
      <c r="W37" s="295">
        <v>75265152</v>
      </c>
      <c r="X37" s="295">
        <v>10.896000000000001</v>
      </c>
      <c r="Y37" s="295">
        <v>20.834</v>
      </c>
      <c r="Z37" s="295">
        <v>211393417.252</v>
      </c>
      <c r="AA37" s="295">
        <v>68.096000000000004</v>
      </c>
      <c r="AB37" s="295">
        <v>7.4180000000000001</v>
      </c>
      <c r="AC37" s="295" t="s">
        <v>337</v>
      </c>
    </row>
    <row r="38" spans="1:30" x14ac:dyDescent="0.2">
      <c r="A38" s="295" t="s">
        <v>209</v>
      </c>
      <c r="B38" s="295">
        <v>1660000000</v>
      </c>
      <c r="C38" s="295">
        <v>0</v>
      </c>
      <c r="D38" s="295">
        <v>1660000000</v>
      </c>
      <c r="E38" s="295">
        <v>145468.921</v>
      </c>
      <c r="F38" s="295">
        <v>1404408884.908</v>
      </c>
      <c r="G38" s="295">
        <v>100591924</v>
      </c>
      <c r="H38" s="295">
        <v>13.221</v>
      </c>
      <c r="I38" s="295">
        <v>16.617999999999999</v>
      </c>
      <c r="J38" s="295">
        <v>233387075.04800001</v>
      </c>
      <c r="K38" s="295">
        <v>84.602999999999994</v>
      </c>
      <c r="L38" s="295">
        <v>7.1630000000000003</v>
      </c>
      <c r="M38" s="295">
        <v>399</v>
      </c>
      <c r="N38" s="295">
        <v>10376473.637</v>
      </c>
      <c r="O38" s="295">
        <v>4186794</v>
      </c>
      <c r="P38" s="295">
        <v>0</v>
      </c>
      <c r="Q38" s="295">
        <v>20.512</v>
      </c>
      <c r="R38" s="295">
        <v>2128424.8870000001</v>
      </c>
      <c r="S38" s="295">
        <v>0</v>
      </c>
      <c r="T38" s="295">
        <v>40.348999999999997</v>
      </c>
      <c r="U38" s="295">
        <v>145867.921</v>
      </c>
      <c r="V38" s="295">
        <v>1414785358.5450001</v>
      </c>
      <c r="W38" s="295">
        <v>104778718</v>
      </c>
      <c r="X38" s="295">
        <v>13.221</v>
      </c>
      <c r="Y38" s="295">
        <v>16.646999999999998</v>
      </c>
      <c r="Z38" s="295">
        <v>235515499.935</v>
      </c>
      <c r="AA38" s="295">
        <v>85.227999999999994</v>
      </c>
      <c r="AB38" s="295">
        <v>7.4059999999999997</v>
      </c>
      <c r="AC38" s="295" t="s">
        <v>344</v>
      </c>
    </row>
    <row r="39" spans="1:30" x14ac:dyDescent="0.2">
      <c r="A39" s="295" t="s">
        <v>287</v>
      </c>
      <c r="B39" s="295">
        <v>1390200000</v>
      </c>
      <c r="C39" s="295">
        <v>0</v>
      </c>
      <c r="D39" s="295">
        <v>1390200000</v>
      </c>
      <c r="E39" s="295">
        <v>253474.182</v>
      </c>
      <c r="F39" s="295">
        <v>1482481253.0940001</v>
      </c>
      <c r="G39" s="295">
        <v>156398121</v>
      </c>
      <c r="H39" s="295">
        <v>12.43</v>
      </c>
      <c r="I39" s="295">
        <v>-19.93</v>
      </c>
      <c r="J39" s="295">
        <v>-295452695.75599998</v>
      </c>
      <c r="K39" s="295">
        <v>106.63800000000001</v>
      </c>
      <c r="L39" s="295">
        <v>10.55</v>
      </c>
      <c r="M39" s="295">
        <v>1362</v>
      </c>
      <c r="N39" s="295">
        <v>18374490.910999998</v>
      </c>
      <c r="O39" s="295">
        <v>4316000</v>
      </c>
      <c r="P39" s="295">
        <v>0</v>
      </c>
      <c r="Q39" s="295">
        <v>22.677</v>
      </c>
      <c r="R39" s="295">
        <v>4166738.6409999998</v>
      </c>
      <c r="S39" s="295">
        <v>0</v>
      </c>
      <c r="T39" s="295">
        <v>23.489000000000001</v>
      </c>
      <c r="U39" s="295">
        <v>254836.182</v>
      </c>
      <c r="V39" s="295">
        <v>1500855744.0050001</v>
      </c>
      <c r="W39" s="295">
        <v>160714121</v>
      </c>
      <c r="X39" s="295">
        <v>12.43</v>
      </c>
      <c r="Y39" s="295">
        <v>-19.408000000000001</v>
      </c>
      <c r="Z39" s="295">
        <v>-291285957.11500001</v>
      </c>
      <c r="AA39" s="295">
        <v>107.96</v>
      </c>
      <c r="AB39" s="295">
        <v>10.708</v>
      </c>
      <c r="AC39" s="295" t="s">
        <v>346</v>
      </c>
      <c r="AD39" s="295">
        <v>7.3021492733956004</v>
      </c>
    </row>
    <row r="40" spans="1:30" x14ac:dyDescent="0.2">
      <c r="A40" s="295" t="s">
        <v>210</v>
      </c>
      <c r="B40" s="295">
        <v>1468100000</v>
      </c>
      <c r="C40" s="295">
        <v>42000000</v>
      </c>
      <c r="D40" s="295">
        <v>1510100000</v>
      </c>
      <c r="E40" s="295">
        <v>221082.052</v>
      </c>
      <c r="F40" s="295">
        <v>1508784525.7290001</v>
      </c>
      <c r="G40" s="295">
        <v>161385173</v>
      </c>
      <c r="H40" s="295">
        <v>10.355</v>
      </c>
      <c r="I40" s="295">
        <v>4.3109999999999999</v>
      </c>
      <c r="J40" s="295">
        <v>65043073.288999997</v>
      </c>
      <c r="K40" s="295">
        <v>102.771</v>
      </c>
      <c r="L40" s="295">
        <v>10.696</v>
      </c>
      <c r="M40" s="295">
        <v>1546</v>
      </c>
      <c r="N40" s="295">
        <v>17114453.636</v>
      </c>
      <c r="O40" s="295">
        <v>1693641</v>
      </c>
      <c r="P40" s="295">
        <v>26.98</v>
      </c>
      <c r="Q40" s="295">
        <v>20.957000000000001</v>
      </c>
      <c r="R40" s="295">
        <v>3586645.4559999998</v>
      </c>
      <c r="S40" s="295">
        <v>40.749000000000002</v>
      </c>
      <c r="T40" s="295">
        <v>9.8960000000000008</v>
      </c>
      <c r="U40" s="295">
        <v>222628.052</v>
      </c>
      <c r="V40" s="295">
        <v>1525898979.365</v>
      </c>
      <c r="W40" s="295">
        <v>163078814</v>
      </c>
      <c r="X40" s="295">
        <v>10.817</v>
      </c>
      <c r="Y40" s="295">
        <v>4.4980000000000002</v>
      </c>
      <c r="Z40" s="295">
        <v>68629718.745000005</v>
      </c>
      <c r="AA40" s="295">
        <v>101.04600000000001</v>
      </c>
      <c r="AB40" s="295">
        <v>10.686999999999999</v>
      </c>
      <c r="AC40" s="295" t="s">
        <v>344</v>
      </c>
    </row>
    <row r="41" spans="1:30" x14ac:dyDescent="0.2">
      <c r="A41" s="295" t="s">
        <v>211</v>
      </c>
      <c r="B41" s="295">
        <v>2030000000</v>
      </c>
      <c r="C41" s="295">
        <v>30000000</v>
      </c>
      <c r="D41" s="295">
        <v>2060000000</v>
      </c>
      <c r="E41" s="295">
        <v>213198.522</v>
      </c>
      <c r="F41" s="295">
        <v>1776418544.9130001</v>
      </c>
      <c r="G41" s="295">
        <v>127356227</v>
      </c>
      <c r="H41" s="295">
        <v>11.726000000000001</v>
      </c>
      <c r="I41" s="295">
        <v>18.161999999999999</v>
      </c>
      <c r="J41" s="295">
        <v>322633799.41299999</v>
      </c>
      <c r="K41" s="295">
        <v>87.507999999999996</v>
      </c>
      <c r="L41" s="295">
        <v>7.1689999999999996</v>
      </c>
      <c r="M41" s="295">
        <v>1246</v>
      </c>
      <c r="N41" s="295">
        <v>22308304.548</v>
      </c>
      <c r="O41" s="295">
        <v>8836015</v>
      </c>
      <c r="P41" s="295">
        <v>24.542999999999999</v>
      </c>
      <c r="Q41" s="295">
        <v>24.103000000000002</v>
      </c>
      <c r="R41" s="295">
        <v>5376891.3480000002</v>
      </c>
      <c r="S41" s="295">
        <v>74.361000000000004</v>
      </c>
      <c r="T41" s="295">
        <v>39.609000000000002</v>
      </c>
      <c r="U41" s="295">
        <v>214444.522</v>
      </c>
      <c r="V41" s="295">
        <v>1798726849.461</v>
      </c>
      <c r="W41" s="295">
        <v>136192242</v>
      </c>
      <c r="X41" s="295">
        <v>11.913</v>
      </c>
      <c r="Y41" s="295">
        <v>18.236000000000001</v>
      </c>
      <c r="Z41" s="295">
        <v>328010690.76099998</v>
      </c>
      <c r="AA41" s="295">
        <v>87.316999999999993</v>
      </c>
      <c r="AB41" s="295">
        <v>7.5720000000000001</v>
      </c>
      <c r="AC41" s="295" t="s">
        <v>344</v>
      </c>
    </row>
    <row r="42" spans="1:30" x14ac:dyDescent="0.2">
      <c r="A42" s="295" t="s">
        <v>212</v>
      </c>
      <c r="B42" s="295">
        <v>1830000000</v>
      </c>
      <c r="C42" s="295">
        <v>40000000</v>
      </c>
      <c r="D42" s="295">
        <v>1870000000</v>
      </c>
      <c r="E42" s="295">
        <v>171827.557</v>
      </c>
      <c r="F42" s="295">
        <v>1560487192.826</v>
      </c>
      <c r="G42" s="295">
        <v>219594701</v>
      </c>
      <c r="H42" s="295">
        <v>10.64</v>
      </c>
      <c r="I42" s="295">
        <v>20.89</v>
      </c>
      <c r="J42" s="295">
        <v>325980727.366</v>
      </c>
      <c r="K42" s="295">
        <v>85.272999999999996</v>
      </c>
      <c r="L42" s="295">
        <v>14.071999999999999</v>
      </c>
      <c r="M42" s="295">
        <v>1402</v>
      </c>
      <c r="N42" s="295">
        <v>23735718.181000002</v>
      </c>
      <c r="O42" s="295">
        <v>8450395</v>
      </c>
      <c r="P42" s="295">
        <v>23.97</v>
      </c>
      <c r="Q42" s="295">
        <v>23.893000000000001</v>
      </c>
      <c r="R42" s="295">
        <v>5671194.9809999997</v>
      </c>
      <c r="S42" s="295">
        <v>59.338999999999999</v>
      </c>
      <c r="T42" s="295">
        <v>35.601999999999997</v>
      </c>
      <c r="U42" s="295">
        <v>173229.557</v>
      </c>
      <c r="V42" s="295">
        <v>1584222911.007</v>
      </c>
      <c r="W42" s="295">
        <v>228045096</v>
      </c>
      <c r="X42" s="295">
        <v>10.925000000000001</v>
      </c>
      <c r="Y42" s="295">
        <v>20.934999999999999</v>
      </c>
      <c r="Z42" s="295">
        <v>331651922.347</v>
      </c>
      <c r="AA42" s="295">
        <v>84.718000000000004</v>
      </c>
      <c r="AB42" s="295">
        <v>14.395</v>
      </c>
      <c r="AC42" s="295" t="s">
        <v>344</v>
      </c>
    </row>
    <row r="43" spans="1:30" x14ac:dyDescent="0.2">
      <c r="A43" s="295" t="s">
        <v>213</v>
      </c>
      <c r="B43" s="295">
        <v>1690000000</v>
      </c>
      <c r="C43" s="295">
        <v>40000000</v>
      </c>
      <c r="D43" s="295">
        <v>1730000000</v>
      </c>
      <c r="E43" s="295">
        <v>135578.106</v>
      </c>
      <c r="F43" s="295">
        <v>1214897122.2839999</v>
      </c>
      <c r="G43" s="295">
        <v>121295622</v>
      </c>
      <c r="H43" s="295">
        <v>12.5</v>
      </c>
      <c r="I43" s="295">
        <v>-2.5409999999999999</v>
      </c>
      <c r="J43" s="295">
        <v>-30870268.546</v>
      </c>
      <c r="K43" s="295">
        <v>71.887</v>
      </c>
      <c r="L43" s="295">
        <v>9.984</v>
      </c>
      <c r="M43" s="295">
        <v>2298</v>
      </c>
      <c r="N43" s="295">
        <v>46046636.362999998</v>
      </c>
      <c r="O43" s="295">
        <v>15594410</v>
      </c>
      <c r="P43" s="295">
        <v>25.564</v>
      </c>
      <c r="Q43" s="295">
        <v>22.242000000000001</v>
      </c>
      <c r="R43" s="295">
        <v>10241675.463</v>
      </c>
      <c r="S43" s="295">
        <v>115.117</v>
      </c>
      <c r="T43" s="295">
        <v>33.866999999999997</v>
      </c>
      <c r="U43" s="295">
        <v>137876.106</v>
      </c>
      <c r="V43" s="295">
        <v>1260943758.6470001</v>
      </c>
      <c r="W43" s="295">
        <v>136890032</v>
      </c>
      <c r="X43" s="295">
        <v>12.802</v>
      </c>
      <c r="Y43" s="295">
        <v>-1.6359999999999999</v>
      </c>
      <c r="Z43" s="295">
        <v>-20628593.083000001</v>
      </c>
      <c r="AA43" s="295">
        <v>72.887</v>
      </c>
      <c r="AB43" s="295">
        <v>10.856</v>
      </c>
      <c r="AC43" s="295" t="s">
        <v>344</v>
      </c>
    </row>
    <row r="44" spans="1:30" x14ac:dyDescent="0.2">
      <c r="A44" s="295" t="s">
        <v>214</v>
      </c>
      <c r="B44" s="295">
        <v>1060000000</v>
      </c>
      <c r="C44" s="295">
        <v>10000000</v>
      </c>
      <c r="D44" s="295">
        <v>1070000000</v>
      </c>
      <c r="E44" s="295">
        <v>103222.698</v>
      </c>
      <c r="F44" s="295">
        <v>953243109.46700001</v>
      </c>
      <c r="G44" s="295">
        <v>81431696</v>
      </c>
      <c r="H44" s="295">
        <v>12.484999999999999</v>
      </c>
      <c r="I44" s="295">
        <v>14.984999999999999</v>
      </c>
      <c r="J44" s="295">
        <v>142840627.90700001</v>
      </c>
      <c r="K44" s="295">
        <v>89.929000000000002</v>
      </c>
      <c r="L44" s="295">
        <v>8.5429999999999993</v>
      </c>
      <c r="M44" s="295">
        <v>316</v>
      </c>
      <c r="N44" s="295">
        <v>9178527.2699999996</v>
      </c>
      <c r="O44" s="295">
        <v>7378220</v>
      </c>
      <c r="P44" s="295">
        <v>25.36</v>
      </c>
      <c r="Q44" s="295">
        <v>25.239000000000001</v>
      </c>
      <c r="R44" s="295">
        <v>2316590</v>
      </c>
      <c r="S44" s="295">
        <v>91.784999999999997</v>
      </c>
      <c r="T44" s="295">
        <v>80.385999999999996</v>
      </c>
      <c r="U44" s="295">
        <v>103538.698</v>
      </c>
      <c r="V44" s="295">
        <v>962421636.73699999</v>
      </c>
      <c r="W44" s="295">
        <v>88809916</v>
      </c>
      <c r="X44" s="295">
        <v>12.605</v>
      </c>
      <c r="Y44" s="295">
        <v>15.082000000000001</v>
      </c>
      <c r="Z44" s="295">
        <v>145157217.90700001</v>
      </c>
      <c r="AA44" s="295">
        <v>89.945999999999998</v>
      </c>
      <c r="AB44" s="295">
        <v>9.2279999999999998</v>
      </c>
      <c r="AC44" s="295" t="s">
        <v>344</v>
      </c>
    </row>
    <row r="45" spans="1:30" x14ac:dyDescent="0.2">
      <c r="A45" s="295" t="s">
        <v>215</v>
      </c>
      <c r="B45" s="295">
        <v>1754300000</v>
      </c>
      <c r="C45" s="295">
        <v>115500000</v>
      </c>
      <c r="D45" s="295">
        <v>1869800000</v>
      </c>
      <c r="E45" s="295">
        <v>305385.07900000003</v>
      </c>
      <c r="F45" s="295">
        <v>1736498208.799</v>
      </c>
      <c r="G45" s="295">
        <v>132766856</v>
      </c>
      <c r="H45" s="295">
        <v>11.792999999999999</v>
      </c>
      <c r="I45" s="295">
        <v>13.503</v>
      </c>
      <c r="J45" s="295">
        <v>234486458.56900001</v>
      </c>
      <c r="K45" s="295">
        <v>98.984999999999999</v>
      </c>
      <c r="L45" s="295">
        <v>7.6459999999999999</v>
      </c>
      <c r="M45" s="295">
        <v>2262</v>
      </c>
      <c r="N45" s="295">
        <v>58678660.908</v>
      </c>
      <c r="O45" s="295">
        <v>16222813</v>
      </c>
      <c r="P45" s="295">
        <v>25.102</v>
      </c>
      <c r="Q45" s="295">
        <v>22.123999999999999</v>
      </c>
      <c r="R45" s="295">
        <v>12981872.198000001</v>
      </c>
      <c r="S45" s="295">
        <v>50.804000000000002</v>
      </c>
      <c r="T45" s="295">
        <v>27.646999999999998</v>
      </c>
      <c r="U45" s="295">
        <v>307647.07900000003</v>
      </c>
      <c r="V45" s="295">
        <v>1795176869.707</v>
      </c>
      <c r="W45" s="295">
        <v>148989669</v>
      </c>
      <c r="X45" s="295">
        <v>12.615</v>
      </c>
      <c r="Y45" s="295">
        <v>13.785</v>
      </c>
      <c r="Z45" s="295">
        <v>247468330.76699999</v>
      </c>
      <c r="AA45" s="295">
        <v>96.009</v>
      </c>
      <c r="AB45" s="295">
        <v>8.2989999999999995</v>
      </c>
      <c r="AC45" s="295" t="s">
        <v>344</v>
      </c>
    </row>
    <row r="46" spans="1:30" x14ac:dyDescent="0.2">
      <c r="A46" s="295" t="s">
        <v>216</v>
      </c>
      <c r="B46" s="295">
        <v>679900000</v>
      </c>
      <c r="C46" s="295">
        <v>0</v>
      </c>
      <c r="D46" s="295">
        <v>679900000</v>
      </c>
      <c r="E46" s="295">
        <v>69533.519</v>
      </c>
      <c r="F46" s="295">
        <v>647584232.27699995</v>
      </c>
      <c r="G46" s="295">
        <v>51143041</v>
      </c>
      <c r="H46" s="295">
        <v>12.093999999999999</v>
      </c>
      <c r="I46" s="295">
        <v>17.873999999999999</v>
      </c>
      <c r="J46" s="295">
        <v>115746790.027</v>
      </c>
      <c r="K46" s="295">
        <v>95.247</v>
      </c>
      <c r="L46" s="295">
        <v>7.8979999999999997</v>
      </c>
      <c r="M46" s="295">
        <v>179</v>
      </c>
      <c r="N46" s="295">
        <v>8940486.3629999999</v>
      </c>
      <c r="O46" s="295">
        <v>8552175</v>
      </c>
      <c r="P46" s="295">
        <v>0</v>
      </c>
      <c r="Q46" s="295">
        <v>24.957999999999998</v>
      </c>
      <c r="R46" s="295">
        <v>2231384.6329999999</v>
      </c>
      <c r="S46" s="295">
        <v>0</v>
      </c>
      <c r="T46" s="295">
        <v>95.656999999999996</v>
      </c>
      <c r="U46" s="295">
        <v>69712.519</v>
      </c>
      <c r="V46" s="295">
        <v>656524718.63999999</v>
      </c>
      <c r="W46" s="295">
        <v>59695216</v>
      </c>
      <c r="X46" s="295">
        <v>12.093999999999999</v>
      </c>
      <c r="Y46" s="295">
        <v>17.97</v>
      </c>
      <c r="Z46" s="295">
        <v>117978174.66</v>
      </c>
      <c r="AA46" s="295">
        <v>96.561999999999998</v>
      </c>
      <c r="AB46" s="295">
        <v>9.093</v>
      </c>
      <c r="AC46" s="295" t="s">
        <v>346</v>
      </c>
    </row>
    <row r="47" spans="1:30" x14ac:dyDescent="0.2">
      <c r="A47" s="295" t="s">
        <v>217</v>
      </c>
      <c r="B47" s="295">
        <v>2070000000</v>
      </c>
      <c r="C47" s="295">
        <v>10000000</v>
      </c>
      <c r="D47" s="295">
        <v>2080000000</v>
      </c>
      <c r="E47" s="295">
        <v>230404.886</v>
      </c>
      <c r="F47" s="295">
        <v>1862356262.9879999</v>
      </c>
      <c r="G47" s="295">
        <v>162239967</v>
      </c>
      <c r="H47" s="295">
        <v>12.465999999999999</v>
      </c>
      <c r="I47" s="295">
        <v>8.73</v>
      </c>
      <c r="J47" s="295">
        <v>162578359.57800001</v>
      </c>
      <c r="K47" s="295">
        <v>89.968999999999994</v>
      </c>
      <c r="L47" s="295">
        <v>8.7119999999999997</v>
      </c>
      <c r="M47" s="295">
        <v>532</v>
      </c>
      <c r="N47" s="295">
        <v>9573649.0899999999</v>
      </c>
      <c r="O47" s="295">
        <v>3221906</v>
      </c>
      <c r="P47" s="295">
        <v>25.795000000000002</v>
      </c>
      <c r="Q47" s="295">
        <v>21.443000000000001</v>
      </c>
      <c r="R47" s="295">
        <v>2052904.47</v>
      </c>
      <c r="S47" s="295">
        <v>95.736000000000004</v>
      </c>
      <c r="T47" s="295">
        <v>33.654000000000003</v>
      </c>
      <c r="U47" s="295">
        <v>230936.886</v>
      </c>
      <c r="V47" s="295">
        <v>1871929912.0780001</v>
      </c>
      <c r="W47" s="295">
        <v>165461873</v>
      </c>
      <c r="X47" s="295">
        <v>12.53</v>
      </c>
      <c r="Y47" s="295">
        <v>8.7949999999999999</v>
      </c>
      <c r="Z47" s="295">
        <v>164631264.04800001</v>
      </c>
      <c r="AA47" s="295">
        <v>89.997</v>
      </c>
      <c r="AB47" s="295">
        <v>8.8390000000000004</v>
      </c>
      <c r="AC47" s="295" t="s">
        <v>344</v>
      </c>
    </row>
    <row r="48" spans="1:30" x14ac:dyDescent="0.2">
      <c r="A48" s="295" t="s">
        <v>218</v>
      </c>
      <c r="B48" s="295">
        <v>690000000</v>
      </c>
      <c r="C48" s="295">
        <v>0</v>
      </c>
      <c r="D48" s="295">
        <v>690000000</v>
      </c>
      <c r="E48" s="295">
        <v>61817.315999999999</v>
      </c>
      <c r="F48" s="295">
        <v>589610039.273</v>
      </c>
      <c r="G48" s="295">
        <v>48758652</v>
      </c>
      <c r="H48" s="295">
        <v>12.18</v>
      </c>
      <c r="I48" s="295">
        <v>17.268000000000001</v>
      </c>
      <c r="J48" s="295">
        <v>101811714.663</v>
      </c>
      <c r="K48" s="295">
        <v>85.450999999999993</v>
      </c>
      <c r="L48" s="295">
        <v>8.27</v>
      </c>
      <c r="M48" s="295">
        <v>579</v>
      </c>
      <c r="N48" s="295">
        <v>14968281.819</v>
      </c>
      <c r="O48" s="295">
        <v>7297710</v>
      </c>
      <c r="P48" s="295">
        <v>0</v>
      </c>
      <c r="Q48" s="295">
        <v>24.047000000000001</v>
      </c>
      <c r="R48" s="295">
        <v>3599362.9789999998</v>
      </c>
      <c r="S48" s="295">
        <v>0</v>
      </c>
      <c r="T48" s="295">
        <v>48.753999999999998</v>
      </c>
      <c r="U48" s="295">
        <v>62396.315999999999</v>
      </c>
      <c r="V48" s="295">
        <v>604578321.09200001</v>
      </c>
      <c r="W48" s="295">
        <v>56056362</v>
      </c>
      <c r="X48" s="295">
        <v>12.18</v>
      </c>
      <c r="Y48" s="295">
        <v>17.434999999999999</v>
      </c>
      <c r="Z48" s="295">
        <v>105411077.642</v>
      </c>
      <c r="AA48" s="295">
        <v>87.62</v>
      </c>
      <c r="AB48" s="295">
        <v>9.2720000000000002</v>
      </c>
      <c r="AC48" s="295" t="s">
        <v>344</v>
      </c>
    </row>
    <row r="49" spans="1:29" x14ac:dyDescent="0.2">
      <c r="A49" s="295" t="s">
        <v>219</v>
      </c>
      <c r="B49" s="295">
        <v>1170000000</v>
      </c>
      <c r="C49" s="295">
        <v>0</v>
      </c>
      <c r="D49" s="295">
        <v>1170000000</v>
      </c>
      <c r="E49" s="295">
        <v>139302.041</v>
      </c>
      <c r="F49" s="295">
        <v>1154813152.523</v>
      </c>
      <c r="G49" s="295">
        <v>77049825</v>
      </c>
      <c r="H49" s="295">
        <v>13.577999999999999</v>
      </c>
      <c r="I49" s="295">
        <v>4.6130000000000004</v>
      </c>
      <c r="J49" s="295">
        <v>53270732.463</v>
      </c>
      <c r="K49" s="295">
        <v>98.701999999999998</v>
      </c>
      <c r="L49" s="295">
        <v>6.6719999999999997</v>
      </c>
      <c r="M49" s="295">
        <v>1420</v>
      </c>
      <c r="N49" s="295">
        <v>15988709.091</v>
      </c>
      <c r="O49" s="295">
        <v>0</v>
      </c>
      <c r="P49" s="295">
        <v>0</v>
      </c>
      <c r="Q49" s="295">
        <v>21.692</v>
      </c>
      <c r="R49" s="295">
        <v>3468309.091</v>
      </c>
      <c r="S49" s="295">
        <v>0</v>
      </c>
      <c r="T49" s="295">
        <v>0</v>
      </c>
      <c r="U49" s="295">
        <v>140722.041</v>
      </c>
      <c r="V49" s="295">
        <v>1170801861.6140001</v>
      </c>
      <c r="W49" s="295">
        <v>77049825</v>
      </c>
      <c r="X49" s="295">
        <v>13.577999999999999</v>
      </c>
      <c r="Y49" s="295">
        <v>4.8460000000000001</v>
      </c>
      <c r="Z49" s="295">
        <v>56739041.553999998</v>
      </c>
      <c r="AA49" s="295">
        <v>100.069</v>
      </c>
      <c r="AB49" s="295">
        <v>6.5810000000000004</v>
      </c>
      <c r="AC49" s="295" t="s">
        <v>344</v>
      </c>
    </row>
    <row r="50" spans="1:29" x14ac:dyDescent="0.2">
      <c r="A50" s="295" t="s">
        <v>220</v>
      </c>
      <c r="B50" s="295">
        <v>890000000</v>
      </c>
      <c r="C50" s="295">
        <v>0</v>
      </c>
      <c r="D50" s="295">
        <v>890000000</v>
      </c>
      <c r="E50" s="295">
        <v>110824.23699999999</v>
      </c>
      <c r="F50" s="295">
        <v>970438383.98199999</v>
      </c>
      <c r="G50" s="295">
        <v>88793891</v>
      </c>
      <c r="H50" s="295">
        <v>13.201000000000001</v>
      </c>
      <c r="I50" s="295">
        <v>13.696999999999999</v>
      </c>
      <c r="J50" s="295">
        <v>132924255.602</v>
      </c>
      <c r="K50" s="295">
        <v>109.038</v>
      </c>
      <c r="L50" s="295">
        <v>9.15</v>
      </c>
      <c r="M50" s="295">
        <v>234</v>
      </c>
      <c r="N50" s="295">
        <v>5362224.5449999999</v>
      </c>
      <c r="O50" s="295">
        <v>3205013</v>
      </c>
      <c r="P50" s="295">
        <v>0</v>
      </c>
      <c r="Q50" s="295">
        <v>22.891999999999999</v>
      </c>
      <c r="R50" s="295">
        <v>1227537.5549999999</v>
      </c>
      <c r="S50" s="295">
        <v>0</v>
      </c>
      <c r="T50" s="295">
        <v>59.77</v>
      </c>
      <c r="U50" s="295">
        <v>111058.23699999999</v>
      </c>
      <c r="V50" s="295">
        <v>975800608.52699995</v>
      </c>
      <c r="W50" s="295">
        <v>91998904</v>
      </c>
      <c r="X50" s="295">
        <v>13.201000000000001</v>
      </c>
      <c r="Y50" s="295">
        <v>13.747999999999999</v>
      </c>
      <c r="Z50" s="295">
        <v>134151793.15700001</v>
      </c>
      <c r="AA50" s="295">
        <v>109.64100000000001</v>
      </c>
      <c r="AB50" s="295">
        <v>9.4280000000000008</v>
      </c>
      <c r="AC50" s="295" t="s">
        <v>344</v>
      </c>
    </row>
    <row r="51" spans="1:29" x14ac:dyDescent="0.2">
      <c r="A51" s="295" t="s">
        <v>221</v>
      </c>
      <c r="B51" s="295">
        <v>2220000000</v>
      </c>
      <c r="C51" s="295">
        <v>100000000</v>
      </c>
      <c r="D51" s="295">
        <v>2320000000</v>
      </c>
      <c r="E51" s="295">
        <v>230168.94500000001</v>
      </c>
      <c r="F51" s="295">
        <v>1869528411.2720001</v>
      </c>
      <c r="G51" s="295">
        <v>146386119</v>
      </c>
      <c r="H51" s="295">
        <v>10.863</v>
      </c>
      <c r="I51" s="295">
        <v>12.622</v>
      </c>
      <c r="J51" s="295">
        <v>235976228.64199999</v>
      </c>
      <c r="K51" s="295">
        <v>84.212999999999994</v>
      </c>
      <c r="L51" s="295">
        <v>7.83</v>
      </c>
      <c r="M51" s="295">
        <v>3788</v>
      </c>
      <c r="N51" s="295">
        <v>73968545.456</v>
      </c>
      <c r="O51" s="295">
        <v>22679505</v>
      </c>
      <c r="P51" s="295">
        <v>24.713999999999999</v>
      </c>
      <c r="Q51" s="295">
        <v>22.376999999999999</v>
      </c>
      <c r="R51" s="295">
        <v>16552073.896</v>
      </c>
      <c r="S51" s="295">
        <v>73.968999999999994</v>
      </c>
      <c r="T51" s="295">
        <v>30.661000000000001</v>
      </c>
      <c r="U51" s="295">
        <v>233956.94500000001</v>
      </c>
      <c r="V51" s="295">
        <v>1943496956.7279999</v>
      </c>
      <c r="W51" s="295">
        <v>169065624</v>
      </c>
      <c r="X51" s="295">
        <v>11.46</v>
      </c>
      <c r="Y51" s="295">
        <v>12.994</v>
      </c>
      <c r="Z51" s="295">
        <v>252528302.53799999</v>
      </c>
      <c r="AA51" s="295">
        <v>83.771000000000001</v>
      </c>
      <c r="AB51" s="295">
        <v>8.6989999999999998</v>
      </c>
      <c r="AC51" s="295" t="s">
        <v>344</v>
      </c>
    </row>
    <row r="52" spans="1:29" x14ac:dyDescent="0.2">
      <c r="A52" s="295" t="s">
        <v>291</v>
      </c>
      <c r="B52" s="295">
        <v>1660000000</v>
      </c>
      <c r="C52" s="295">
        <v>50000000</v>
      </c>
      <c r="D52" s="295">
        <v>1710000000</v>
      </c>
      <c r="E52" s="295">
        <v>143997.63800000001</v>
      </c>
      <c r="F52" s="295">
        <v>1480651082.372</v>
      </c>
      <c r="G52" s="295">
        <v>245421921</v>
      </c>
      <c r="H52" s="295">
        <v>12.811</v>
      </c>
      <c r="I52" s="295">
        <v>22.021000000000001</v>
      </c>
      <c r="J52" s="295">
        <v>326046802.78200001</v>
      </c>
      <c r="K52" s="295">
        <v>89.195999999999998</v>
      </c>
      <c r="L52" s="295">
        <v>16.574999999999999</v>
      </c>
      <c r="M52" s="295">
        <v>1079</v>
      </c>
      <c r="N52" s="295">
        <v>54013521.818000004</v>
      </c>
      <c r="O52" s="295">
        <v>22635126</v>
      </c>
      <c r="P52" s="295">
        <v>26.991</v>
      </c>
      <c r="Q52" s="295">
        <v>25.805</v>
      </c>
      <c r="R52" s="295">
        <v>13938401.668</v>
      </c>
      <c r="S52" s="295">
        <v>108.027</v>
      </c>
      <c r="T52" s="295">
        <v>41.905999999999999</v>
      </c>
      <c r="U52" s="295">
        <v>145076.63800000001</v>
      </c>
      <c r="V52" s="295">
        <v>1534664604.1900001</v>
      </c>
      <c r="W52" s="295">
        <v>268057047</v>
      </c>
      <c r="X52" s="295">
        <v>13.226000000000001</v>
      </c>
      <c r="Y52" s="295">
        <v>22.154</v>
      </c>
      <c r="Z52" s="295">
        <v>339985204.44999999</v>
      </c>
      <c r="AA52" s="295">
        <v>89.745999999999995</v>
      </c>
      <c r="AB52" s="295">
        <v>17.466999999999999</v>
      </c>
      <c r="AC52" s="295" t="s">
        <v>344</v>
      </c>
    </row>
    <row r="53" spans="1:29" x14ac:dyDescent="0.2">
      <c r="A53" s="295" t="s">
        <v>222</v>
      </c>
      <c r="B53" s="295">
        <v>600000000</v>
      </c>
      <c r="C53" s="295">
        <v>10000000</v>
      </c>
      <c r="D53" s="295">
        <v>610000000</v>
      </c>
      <c r="E53" s="295">
        <v>63370</v>
      </c>
      <c r="F53" s="295">
        <v>530672257.44599998</v>
      </c>
      <c r="G53" s="295">
        <v>48053727</v>
      </c>
      <c r="H53" s="295">
        <v>11.907999999999999</v>
      </c>
      <c r="I53" s="295">
        <v>19.673999999999999</v>
      </c>
      <c r="J53" s="295">
        <v>104402682.786</v>
      </c>
      <c r="K53" s="295">
        <v>88.444999999999993</v>
      </c>
      <c r="L53" s="295">
        <v>9.0549999999999997</v>
      </c>
      <c r="M53" s="295">
        <v>1318</v>
      </c>
      <c r="N53" s="295">
        <v>21733850.909000002</v>
      </c>
      <c r="O53" s="295">
        <v>5698813</v>
      </c>
      <c r="P53" s="295">
        <v>26.773</v>
      </c>
      <c r="Q53" s="295">
        <v>22.917000000000002</v>
      </c>
      <c r="R53" s="295">
        <v>4980668.1789999995</v>
      </c>
      <c r="S53" s="295">
        <v>217.339</v>
      </c>
      <c r="T53" s="295">
        <v>26.221</v>
      </c>
      <c r="U53" s="295">
        <v>64688</v>
      </c>
      <c r="V53" s="295">
        <v>552406108.35500002</v>
      </c>
      <c r="W53" s="295">
        <v>53752540</v>
      </c>
      <c r="X53" s="295">
        <v>12.151999999999999</v>
      </c>
      <c r="Y53" s="295">
        <v>19.800999999999998</v>
      </c>
      <c r="Z53" s="295">
        <v>109383350.965</v>
      </c>
      <c r="AA53" s="295">
        <v>90.558000000000007</v>
      </c>
      <c r="AB53" s="295">
        <v>9.7309999999999999</v>
      </c>
      <c r="AC53" s="295" t="s">
        <v>344</v>
      </c>
    </row>
    <row r="54" spans="1:29" x14ac:dyDescent="0.2">
      <c r="A54" s="295" t="s">
        <v>292</v>
      </c>
      <c r="B54" s="295">
        <v>1580000000</v>
      </c>
      <c r="C54" s="295">
        <v>20000000</v>
      </c>
      <c r="D54" s="295">
        <v>1600000000</v>
      </c>
      <c r="E54" s="295">
        <v>193455.51</v>
      </c>
      <c r="F54" s="295">
        <v>1363349535.6670001</v>
      </c>
      <c r="G54" s="295">
        <v>100484845</v>
      </c>
      <c r="H54" s="295">
        <v>12.509</v>
      </c>
      <c r="I54" s="295">
        <v>19.629000000000001</v>
      </c>
      <c r="J54" s="295">
        <v>267610126.80700001</v>
      </c>
      <c r="K54" s="295">
        <v>86.287999999999997</v>
      </c>
      <c r="L54" s="295">
        <v>7.37</v>
      </c>
      <c r="M54" s="295">
        <v>392</v>
      </c>
      <c r="N54" s="295">
        <v>22677579.090999998</v>
      </c>
      <c r="O54" s="295">
        <v>22492213</v>
      </c>
      <c r="P54" s="295">
        <v>25.224</v>
      </c>
      <c r="Q54" s="295">
        <v>24.696000000000002</v>
      </c>
      <c r="R54" s="295">
        <v>5600371.3909999998</v>
      </c>
      <c r="S54" s="295">
        <v>113.38800000000001</v>
      </c>
      <c r="T54" s="295">
        <v>99.183000000000007</v>
      </c>
      <c r="U54" s="295">
        <v>193847.51</v>
      </c>
      <c r="V54" s="295">
        <v>1386027114.7579999</v>
      </c>
      <c r="W54" s="295">
        <v>122977058</v>
      </c>
      <c r="X54" s="295">
        <v>12.667999999999999</v>
      </c>
      <c r="Y54" s="295">
        <v>19.712</v>
      </c>
      <c r="Z54" s="295">
        <v>273210498.19800001</v>
      </c>
      <c r="AA54" s="295">
        <v>86.626999999999995</v>
      </c>
      <c r="AB54" s="295">
        <v>8.8729999999999993</v>
      </c>
      <c r="AC54" s="295" t="s">
        <v>344</v>
      </c>
    </row>
    <row r="55" spans="1:29" x14ac:dyDescent="0.2">
      <c r="A55" s="295" t="s">
        <v>223</v>
      </c>
      <c r="B55" s="295">
        <v>900000000</v>
      </c>
      <c r="C55" s="295">
        <v>20000000</v>
      </c>
      <c r="D55" s="295">
        <v>920000000</v>
      </c>
      <c r="E55" s="295">
        <v>157478.829</v>
      </c>
      <c r="F55" s="295">
        <v>1010757729.983</v>
      </c>
      <c r="G55" s="295">
        <v>63752722</v>
      </c>
      <c r="H55" s="295">
        <v>10.907999999999999</v>
      </c>
      <c r="I55" s="295">
        <v>15.191000000000001</v>
      </c>
      <c r="J55" s="295">
        <v>153546804.31299999</v>
      </c>
      <c r="K55" s="295">
        <v>112.306</v>
      </c>
      <c r="L55" s="295">
        <v>6.3070000000000004</v>
      </c>
      <c r="M55" s="295">
        <v>945</v>
      </c>
      <c r="N55" s="295">
        <v>24542193.636999998</v>
      </c>
      <c r="O55" s="295">
        <v>13758752</v>
      </c>
      <c r="P55" s="295">
        <v>22.832000000000001</v>
      </c>
      <c r="Q55" s="295">
        <v>23.742000000000001</v>
      </c>
      <c r="R55" s="295">
        <v>5826747.7369999997</v>
      </c>
      <c r="S55" s="295">
        <v>122.711</v>
      </c>
      <c r="T55" s="295">
        <v>56.061999999999998</v>
      </c>
      <c r="U55" s="295">
        <v>158423.829</v>
      </c>
      <c r="V55" s="295">
        <v>1035299923.62</v>
      </c>
      <c r="W55" s="295">
        <v>77511474</v>
      </c>
      <c r="X55" s="295">
        <v>11.167</v>
      </c>
      <c r="Y55" s="295">
        <v>15.394</v>
      </c>
      <c r="Z55" s="295">
        <v>159373552.05000001</v>
      </c>
      <c r="AA55" s="295">
        <v>112.533</v>
      </c>
      <c r="AB55" s="295">
        <v>7.4870000000000001</v>
      </c>
      <c r="AC55" s="295" t="s">
        <v>344</v>
      </c>
    </row>
    <row r="56" spans="1:29" x14ac:dyDescent="0.2">
      <c r="A56" s="295" t="s">
        <v>224</v>
      </c>
      <c r="B56" s="295">
        <v>960000000</v>
      </c>
      <c r="C56" s="295">
        <v>60000000</v>
      </c>
      <c r="D56" s="295">
        <v>1020000000</v>
      </c>
      <c r="E56" s="295">
        <v>96600.581999999995</v>
      </c>
      <c r="F56" s="295">
        <v>837307229.71800005</v>
      </c>
      <c r="G56" s="295">
        <v>65698130</v>
      </c>
      <c r="H56" s="295">
        <v>12.042</v>
      </c>
      <c r="I56" s="295">
        <v>13.672000000000001</v>
      </c>
      <c r="J56" s="295">
        <v>114480632.228</v>
      </c>
      <c r="K56" s="295">
        <v>87.22</v>
      </c>
      <c r="L56" s="295">
        <v>7.8460000000000001</v>
      </c>
      <c r="M56" s="295">
        <v>1603</v>
      </c>
      <c r="N56" s="295">
        <v>46406131.818000004</v>
      </c>
      <c r="O56" s="295">
        <v>27175146</v>
      </c>
      <c r="P56" s="295">
        <v>25.417000000000002</v>
      </c>
      <c r="Q56" s="295">
        <v>21.754000000000001</v>
      </c>
      <c r="R56" s="295">
        <v>10095135.908</v>
      </c>
      <c r="S56" s="295">
        <v>77.343999999999994</v>
      </c>
      <c r="T56" s="295">
        <v>58.558999999999997</v>
      </c>
      <c r="U56" s="295">
        <v>98203.581999999995</v>
      </c>
      <c r="V56" s="295">
        <v>883713361.53600001</v>
      </c>
      <c r="W56" s="295">
        <v>92873276</v>
      </c>
      <c r="X56" s="295">
        <v>12.829000000000001</v>
      </c>
      <c r="Y56" s="295">
        <v>14.097</v>
      </c>
      <c r="Z56" s="295">
        <v>124575768.13600001</v>
      </c>
      <c r="AA56" s="295">
        <v>86.638999999999996</v>
      </c>
      <c r="AB56" s="295">
        <v>10.509</v>
      </c>
      <c r="AC56" s="295" t="s">
        <v>344</v>
      </c>
    </row>
    <row r="57" spans="1:29" x14ac:dyDescent="0.2">
      <c r="A57" s="295" t="s">
        <v>293</v>
      </c>
      <c r="B57" s="295">
        <v>2040000000</v>
      </c>
      <c r="C57" s="295">
        <v>80000000</v>
      </c>
      <c r="D57" s="295">
        <v>2120000000</v>
      </c>
      <c r="E57" s="295">
        <v>220084.40900000001</v>
      </c>
      <c r="F57" s="295">
        <v>1734082916.8510001</v>
      </c>
      <c r="G57" s="295">
        <v>123896413</v>
      </c>
      <c r="H57" s="295">
        <v>11.323</v>
      </c>
      <c r="I57" s="295">
        <v>17.715</v>
      </c>
      <c r="J57" s="295">
        <v>307186137.84100002</v>
      </c>
      <c r="K57" s="295">
        <v>85.004000000000005</v>
      </c>
      <c r="L57" s="295">
        <v>7.1449999999999996</v>
      </c>
      <c r="M57" s="295">
        <v>2826</v>
      </c>
      <c r="N57" s="295">
        <v>55759718.178000003</v>
      </c>
      <c r="O57" s="295">
        <v>18591450</v>
      </c>
      <c r="P57" s="295">
        <v>25.637</v>
      </c>
      <c r="Q57" s="295">
        <v>23.125</v>
      </c>
      <c r="R57" s="295">
        <v>12894220.488</v>
      </c>
      <c r="S57" s="295">
        <v>69.7</v>
      </c>
      <c r="T57" s="295">
        <v>33.341999999999999</v>
      </c>
      <c r="U57" s="295">
        <v>222910.40900000001</v>
      </c>
      <c r="V57" s="295">
        <v>1789842635.029</v>
      </c>
      <c r="W57" s="295">
        <v>142487863</v>
      </c>
      <c r="X57" s="295">
        <v>11.863</v>
      </c>
      <c r="Y57" s="295">
        <v>17.882999999999999</v>
      </c>
      <c r="Z57" s="295">
        <v>320080358.329</v>
      </c>
      <c r="AA57" s="295">
        <v>84.427000000000007</v>
      </c>
      <c r="AB57" s="295">
        <v>7.9610000000000003</v>
      </c>
      <c r="AC57" s="295" t="s">
        <v>344</v>
      </c>
    </row>
    <row r="58" spans="1:29" x14ac:dyDescent="0.2">
      <c r="A58" s="295" t="s">
        <v>225</v>
      </c>
      <c r="B58" s="295">
        <v>1029500000</v>
      </c>
      <c r="C58" s="295">
        <v>10500000</v>
      </c>
      <c r="D58" s="295">
        <v>1040000000</v>
      </c>
      <c r="E58" s="295">
        <v>120857.126</v>
      </c>
      <c r="F58" s="295">
        <v>882853528.35599995</v>
      </c>
      <c r="G58" s="295">
        <v>71053487</v>
      </c>
      <c r="H58" s="295">
        <v>11.109</v>
      </c>
      <c r="I58" s="295">
        <v>16.138999999999999</v>
      </c>
      <c r="J58" s="295">
        <v>142480372.206</v>
      </c>
      <c r="K58" s="295">
        <v>85.756</v>
      </c>
      <c r="L58" s="295">
        <v>8.048</v>
      </c>
      <c r="M58" s="295">
        <v>162</v>
      </c>
      <c r="N58" s="295">
        <v>4274027.2719999999</v>
      </c>
      <c r="O58" s="295">
        <v>3273320</v>
      </c>
      <c r="P58" s="295">
        <v>27.251000000000001</v>
      </c>
      <c r="Q58" s="295">
        <v>26.146999999999998</v>
      </c>
      <c r="R58" s="295">
        <v>1117541.402</v>
      </c>
      <c r="S58" s="295">
        <v>40.704999999999998</v>
      </c>
      <c r="T58" s="295">
        <v>76.585999999999999</v>
      </c>
      <c r="U58" s="295">
        <v>121019.126</v>
      </c>
      <c r="V58" s="295">
        <v>887127555.62800002</v>
      </c>
      <c r="W58" s="295">
        <v>74326807</v>
      </c>
      <c r="X58" s="295">
        <v>11.272</v>
      </c>
      <c r="Y58" s="295">
        <v>16.187000000000001</v>
      </c>
      <c r="Z58" s="295">
        <v>143597913.60800001</v>
      </c>
      <c r="AA58" s="295">
        <v>85.301000000000002</v>
      </c>
      <c r="AB58" s="295">
        <v>8.3780000000000001</v>
      </c>
      <c r="AC58" s="295" t="s">
        <v>344</v>
      </c>
    </row>
    <row r="59" spans="1:29" x14ac:dyDescent="0.2">
      <c r="A59" s="295" t="s">
        <v>294</v>
      </c>
      <c r="B59" s="295">
        <v>2790000000</v>
      </c>
      <c r="C59" s="295">
        <v>10000000</v>
      </c>
      <c r="D59" s="295">
        <v>2800000000</v>
      </c>
      <c r="E59" s="295">
        <v>281991.951</v>
      </c>
      <c r="F59" s="295">
        <v>2804141746.2470002</v>
      </c>
      <c r="G59" s="295">
        <v>266867930</v>
      </c>
      <c r="H59" s="295">
        <v>11.351000000000001</v>
      </c>
      <c r="I59" s="295">
        <v>15.894</v>
      </c>
      <c r="J59" s="295">
        <v>445679117.17699999</v>
      </c>
      <c r="K59" s="295">
        <v>100.50700000000001</v>
      </c>
      <c r="L59" s="295">
        <v>9.5169999999999995</v>
      </c>
      <c r="M59" s="295">
        <v>603</v>
      </c>
      <c r="N59" s="295">
        <v>23347151.816</v>
      </c>
      <c r="O59" s="295">
        <v>11357393</v>
      </c>
      <c r="P59" s="295">
        <v>26.395</v>
      </c>
      <c r="Q59" s="295">
        <v>21.113</v>
      </c>
      <c r="R59" s="295">
        <v>4929260.3260000004</v>
      </c>
      <c r="S59" s="295">
        <v>233.47200000000001</v>
      </c>
      <c r="T59" s="295">
        <v>48.646000000000001</v>
      </c>
      <c r="U59" s="295">
        <v>282594.951</v>
      </c>
      <c r="V59" s="295">
        <v>2827488898.0630002</v>
      </c>
      <c r="W59" s="295">
        <v>278225323</v>
      </c>
      <c r="X59" s="295">
        <v>11.404999999999999</v>
      </c>
      <c r="Y59" s="295">
        <v>15.936999999999999</v>
      </c>
      <c r="Z59" s="295">
        <v>450608377.50300002</v>
      </c>
      <c r="AA59" s="295">
        <v>100.982</v>
      </c>
      <c r="AB59" s="295">
        <v>9.84</v>
      </c>
      <c r="AC59" s="295" t="s">
        <v>344</v>
      </c>
    </row>
    <row r="60" spans="1:29" x14ac:dyDescent="0.2">
      <c r="A60" s="295" t="s">
        <v>226</v>
      </c>
      <c r="B60" s="295">
        <v>1007600000</v>
      </c>
      <c r="C60" s="295">
        <v>52500000</v>
      </c>
      <c r="D60" s="295">
        <v>1060100000</v>
      </c>
      <c r="E60" s="295">
        <v>130000.13800000001</v>
      </c>
      <c r="F60" s="295">
        <v>1061949974.556</v>
      </c>
      <c r="G60" s="295">
        <v>86102691</v>
      </c>
      <c r="H60" s="295">
        <v>11.313000000000001</v>
      </c>
      <c r="I60" s="295">
        <v>-6.2729999999999997</v>
      </c>
      <c r="J60" s="295">
        <v>-66619016.053999998</v>
      </c>
      <c r="K60" s="295">
        <v>105.39400000000001</v>
      </c>
      <c r="L60" s="295">
        <v>8.1080000000000005</v>
      </c>
      <c r="M60" s="295">
        <v>1289</v>
      </c>
      <c r="N60" s="295">
        <v>23954088.18</v>
      </c>
      <c r="O60" s="295">
        <v>10764648</v>
      </c>
      <c r="P60" s="295">
        <v>20.981999999999999</v>
      </c>
      <c r="Q60" s="295">
        <v>22.100999999999999</v>
      </c>
      <c r="R60" s="295">
        <v>5294037.7300000004</v>
      </c>
      <c r="S60" s="295">
        <v>45.627000000000002</v>
      </c>
      <c r="T60" s="295">
        <v>44.939</v>
      </c>
      <c r="U60" s="295">
        <v>131289.13800000001</v>
      </c>
      <c r="V60" s="295">
        <v>1085904062.7360001</v>
      </c>
      <c r="W60" s="295">
        <v>96867339</v>
      </c>
      <c r="X60" s="295">
        <v>11.792</v>
      </c>
      <c r="Y60" s="295">
        <v>-5.6470000000000002</v>
      </c>
      <c r="Z60" s="295">
        <v>-61324978.324000001</v>
      </c>
      <c r="AA60" s="295">
        <v>102.434</v>
      </c>
      <c r="AB60" s="295">
        <v>8.92</v>
      </c>
      <c r="AC60" s="295" t="s">
        <v>344</v>
      </c>
    </row>
    <row r="61" spans="1:29" x14ac:dyDescent="0.2">
      <c r="A61" s="295" t="s">
        <v>227</v>
      </c>
      <c r="B61" s="295">
        <v>820000000</v>
      </c>
      <c r="C61" s="295">
        <v>0</v>
      </c>
      <c r="D61" s="295">
        <v>820000000</v>
      </c>
      <c r="E61" s="295">
        <v>79396.648000000001</v>
      </c>
      <c r="F61" s="295">
        <v>604107734.27400005</v>
      </c>
      <c r="G61" s="295">
        <v>51404047</v>
      </c>
      <c r="H61" s="295">
        <v>11.516999999999999</v>
      </c>
      <c r="I61" s="295">
        <v>-13.930999999999999</v>
      </c>
      <c r="J61" s="295">
        <v>-84157178.686000004</v>
      </c>
      <c r="K61" s="295">
        <v>73.671999999999997</v>
      </c>
      <c r="L61" s="295">
        <v>8.5090000000000003</v>
      </c>
      <c r="M61" s="295">
        <v>182</v>
      </c>
      <c r="N61" s="295">
        <v>3455763.6379999998</v>
      </c>
      <c r="O61" s="295">
        <v>1773010</v>
      </c>
      <c r="P61" s="295">
        <v>0</v>
      </c>
      <c r="Q61" s="295">
        <v>24.664000000000001</v>
      </c>
      <c r="R61" s="295">
        <v>852341.36800000002</v>
      </c>
      <c r="S61" s="295">
        <v>0</v>
      </c>
      <c r="T61" s="295">
        <v>51.305999999999997</v>
      </c>
      <c r="U61" s="295">
        <v>79578.648000000001</v>
      </c>
      <c r="V61" s="295">
        <v>607563497.91199994</v>
      </c>
      <c r="W61" s="295">
        <v>53177057</v>
      </c>
      <c r="X61" s="295">
        <v>11.516999999999999</v>
      </c>
      <c r="Y61" s="295">
        <v>-13.711</v>
      </c>
      <c r="Z61" s="295">
        <v>-83304837.318000004</v>
      </c>
      <c r="AA61" s="295">
        <v>74.093000000000004</v>
      </c>
      <c r="AB61" s="295">
        <v>8.7530000000000001</v>
      </c>
      <c r="AC61" s="295" t="s">
        <v>346</v>
      </c>
    </row>
    <row r="62" spans="1:29" x14ac:dyDescent="0.2">
      <c r="A62" s="295" t="s">
        <v>295</v>
      </c>
      <c r="B62" s="295">
        <v>2437600000</v>
      </c>
      <c r="C62" s="295">
        <v>122400000</v>
      </c>
      <c r="D62" s="295">
        <v>2560000000</v>
      </c>
      <c r="E62" s="295">
        <v>179596.83</v>
      </c>
      <c r="F62" s="295">
        <v>1868845727.5480001</v>
      </c>
      <c r="G62" s="295">
        <v>139087191</v>
      </c>
      <c r="H62" s="295">
        <v>10.032999999999999</v>
      </c>
      <c r="I62" s="295">
        <v>20.965</v>
      </c>
      <c r="J62" s="295">
        <v>391809623.82800001</v>
      </c>
      <c r="K62" s="295">
        <v>76.667000000000002</v>
      </c>
      <c r="L62" s="295">
        <v>7.4420000000000002</v>
      </c>
      <c r="M62" s="295">
        <v>3172</v>
      </c>
      <c r="N62" s="295">
        <v>67615613.635000005</v>
      </c>
      <c r="O62" s="295">
        <v>30616480</v>
      </c>
      <c r="P62" s="295">
        <v>23.704999999999998</v>
      </c>
      <c r="Q62" s="295">
        <v>23.419</v>
      </c>
      <c r="R62" s="295">
        <v>15834986.074999999</v>
      </c>
      <c r="S62" s="295">
        <v>55.241999999999997</v>
      </c>
      <c r="T62" s="295">
        <v>45.28</v>
      </c>
      <c r="U62" s="295">
        <v>182768.83</v>
      </c>
      <c r="V62" s="295">
        <v>1936461341.1830001</v>
      </c>
      <c r="W62" s="295">
        <v>169703671</v>
      </c>
      <c r="X62" s="295">
        <v>10.686999999999999</v>
      </c>
      <c r="Y62" s="295">
        <v>21.050999999999998</v>
      </c>
      <c r="Z62" s="295">
        <v>407644609.903</v>
      </c>
      <c r="AA62" s="295">
        <v>75.643000000000001</v>
      </c>
      <c r="AB62" s="295">
        <v>8.7639999999999993</v>
      </c>
      <c r="AC62" s="295" t="s">
        <v>339</v>
      </c>
    </row>
    <row r="63" spans="1:29" x14ac:dyDescent="0.2">
      <c r="A63" s="295" t="s">
        <v>296</v>
      </c>
      <c r="B63" s="295">
        <v>1660000000</v>
      </c>
      <c r="C63" s="295">
        <v>40000000</v>
      </c>
      <c r="D63" s="295">
        <v>1700000000</v>
      </c>
      <c r="E63" s="295">
        <v>149235.26199999999</v>
      </c>
      <c r="F63" s="295">
        <v>1080293733.951</v>
      </c>
      <c r="G63" s="295">
        <v>76880703</v>
      </c>
      <c r="H63" s="295">
        <v>12.911</v>
      </c>
      <c r="I63" s="295">
        <v>16.471</v>
      </c>
      <c r="J63" s="295">
        <v>177930432.25099999</v>
      </c>
      <c r="K63" s="295">
        <v>65.078000000000003</v>
      </c>
      <c r="L63" s="295">
        <v>7.117</v>
      </c>
      <c r="M63" s="295">
        <v>283</v>
      </c>
      <c r="N63" s="295">
        <v>24803200</v>
      </c>
      <c r="O63" s="295">
        <v>23662180</v>
      </c>
      <c r="P63" s="295">
        <v>25.837</v>
      </c>
      <c r="Q63" s="295">
        <v>23.148</v>
      </c>
      <c r="R63" s="295">
        <v>5741399.9800000004</v>
      </c>
      <c r="S63" s="295">
        <v>62.008000000000003</v>
      </c>
      <c r="T63" s="295">
        <v>95.4</v>
      </c>
      <c r="U63" s="295">
        <v>149518.26199999999</v>
      </c>
      <c r="V63" s="295">
        <v>1105096933.951</v>
      </c>
      <c r="W63" s="295">
        <v>100542883</v>
      </c>
      <c r="X63" s="295">
        <v>13.215</v>
      </c>
      <c r="Y63" s="295">
        <v>16.62</v>
      </c>
      <c r="Z63" s="295">
        <v>183671832.23100001</v>
      </c>
      <c r="AA63" s="295">
        <v>65.006</v>
      </c>
      <c r="AB63" s="295">
        <v>9.0980000000000008</v>
      </c>
      <c r="AC63" s="295" t="s">
        <v>344</v>
      </c>
    </row>
    <row r="64" spans="1:29" x14ac:dyDescent="0.2">
      <c r="A64" s="295" t="s">
        <v>297</v>
      </c>
      <c r="B64" s="295">
        <v>1320000000</v>
      </c>
      <c r="C64" s="295">
        <v>30000000</v>
      </c>
      <c r="D64" s="295">
        <v>1350000000</v>
      </c>
      <c r="E64" s="295">
        <v>125372.829</v>
      </c>
      <c r="F64" s="295">
        <v>1148679969.4849999</v>
      </c>
      <c r="G64" s="295">
        <v>158236929</v>
      </c>
      <c r="H64" s="295">
        <v>12.029</v>
      </c>
      <c r="I64" s="295">
        <v>-13.015000000000001</v>
      </c>
      <c r="J64" s="295">
        <v>-149506265.92500001</v>
      </c>
      <c r="K64" s="295">
        <v>87.021000000000001</v>
      </c>
      <c r="L64" s="295">
        <v>13.776</v>
      </c>
      <c r="M64" s="295">
        <v>446</v>
      </c>
      <c r="N64" s="295">
        <v>19496336.364</v>
      </c>
      <c r="O64" s="295">
        <v>10402830</v>
      </c>
      <c r="P64" s="295">
        <v>23.359000000000002</v>
      </c>
      <c r="Q64" s="295">
        <v>20.475999999999999</v>
      </c>
      <c r="R64" s="295">
        <v>3992156.344</v>
      </c>
      <c r="S64" s="295">
        <v>64.988</v>
      </c>
      <c r="T64" s="295">
        <v>53.357999999999997</v>
      </c>
      <c r="U64" s="295">
        <v>125818.829</v>
      </c>
      <c r="V64" s="295">
        <v>1168176305.849</v>
      </c>
      <c r="W64" s="295">
        <v>168639759</v>
      </c>
      <c r="X64" s="295">
        <v>12.281000000000001</v>
      </c>
      <c r="Y64" s="295">
        <v>-12.457000000000001</v>
      </c>
      <c r="Z64" s="295">
        <v>-145514109.581</v>
      </c>
      <c r="AA64" s="295">
        <v>86.531999999999996</v>
      </c>
      <c r="AB64" s="295">
        <v>14.436</v>
      </c>
      <c r="AC64" s="295" t="s">
        <v>344</v>
      </c>
    </row>
    <row r="65" spans="1:30" x14ac:dyDescent="0.2">
      <c r="A65" s="295" t="s">
        <v>228</v>
      </c>
      <c r="B65" s="295">
        <v>3010000000</v>
      </c>
      <c r="C65" s="295">
        <v>90000000</v>
      </c>
      <c r="D65" s="295">
        <v>3100000000</v>
      </c>
      <c r="E65" s="295">
        <v>279906.413</v>
      </c>
      <c r="F65" s="295">
        <v>2430412068.3540001</v>
      </c>
      <c r="G65" s="295">
        <v>181992567</v>
      </c>
      <c r="H65" s="295">
        <v>13.146000000000001</v>
      </c>
      <c r="I65" s="295">
        <v>20.457000000000001</v>
      </c>
      <c r="J65" s="295">
        <v>497196464.66399997</v>
      </c>
      <c r="K65" s="295">
        <v>80.745000000000005</v>
      </c>
      <c r="L65" s="295">
        <v>7.4880000000000004</v>
      </c>
      <c r="M65" s="295">
        <v>1530</v>
      </c>
      <c r="N65" s="295">
        <v>55266580.908</v>
      </c>
      <c r="O65" s="295">
        <v>25022676</v>
      </c>
      <c r="P65" s="295">
        <v>25.681999999999999</v>
      </c>
      <c r="Q65" s="295">
        <v>22.898</v>
      </c>
      <c r="R65" s="295">
        <v>12654667.528000001</v>
      </c>
      <c r="S65" s="295">
        <v>61.406999999999996</v>
      </c>
      <c r="T65" s="295">
        <v>45.276000000000003</v>
      </c>
      <c r="U65" s="295">
        <v>281436.413</v>
      </c>
      <c r="V65" s="295">
        <v>2485678649.2620001</v>
      </c>
      <c r="W65" s="295">
        <v>207015243</v>
      </c>
      <c r="X65" s="295">
        <v>13.51</v>
      </c>
      <c r="Y65" s="295">
        <v>20.512</v>
      </c>
      <c r="Z65" s="295">
        <v>509851132.19199997</v>
      </c>
      <c r="AA65" s="295">
        <v>80.183000000000007</v>
      </c>
      <c r="AB65" s="295">
        <v>8.3279999999999994</v>
      </c>
      <c r="AC65" s="295" t="s">
        <v>344</v>
      </c>
    </row>
    <row r="66" spans="1:30" x14ac:dyDescent="0.2">
      <c r="A66" s="295" t="s">
        <v>298</v>
      </c>
      <c r="B66" s="295">
        <v>1730000000</v>
      </c>
      <c r="C66" s="295">
        <v>110000000</v>
      </c>
      <c r="D66" s="295">
        <v>1840000000</v>
      </c>
      <c r="E66" s="295">
        <v>115522.954</v>
      </c>
      <c r="F66" s="295">
        <v>1280308731.869</v>
      </c>
      <c r="G66" s="295">
        <v>164802042</v>
      </c>
      <c r="H66" s="295">
        <v>12.185</v>
      </c>
      <c r="I66" s="295">
        <v>13.542</v>
      </c>
      <c r="J66" s="295">
        <v>173380779.14899999</v>
      </c>
      <c r="K66" s="295">
        <v>74.006</v>
      </c>
      <c r="L66" s="295">
        <v>12.872</v>
      </c>
      <c r="M66" s="295">
        <v>2468</v>
      </c>
      <c r="N66" s="295">
        <v>65548269.274999999</v>
      </c>
      <c r="O66" s="295">
        <v>24372526</v>
      </c>
      <c r="P66" s="295">
        <v>25.815999999999999</v>
      </c>
      <c r="Q66" s="295">
        <v>21.414000000000001</v>
      </c>
      <c r="R66" s="295">
        <v>14036450.824999999</v>
      </c>
      <c r="S66" s="295">
        <v>59.588999999999999</v>
      </c>
      <c r="T66" s="295">
        <v>37.183</v>
      </c>
      <c r="U66" s="295">
        <v>117990.954</v>
      </c>
      <c r="V66" s="295">
        <v>1345857001.1440001</v>
      </c>
      <c r="W66" s="295">
        <v>189174568</v>
      </c>
      <c r="X66" s="295">
        <v>12.999000000000001</v>
      </c>
      <c r="Y66" s="295">
        <v>13.925000000000001</v>
      </c>
      <c r="Z66" s="295">
        <v>187417229.97400001</v>
      </c>
      <c r="AA66" s="295">
        <v>73.144000000000005</v>
      </c>
      <c r="AB66" s="295">
        <v>14.055999999999999</v>
      </c>
      <c r="AC66" s="295" t="s">
        <v>344</v>
      </c>
    </row>
    <row r="67" spans="1:30" x14ac:dyDescent="0.2">
      <c r="A67" s="295" t="s">
        <v>229</v>
      </c>
      <c r="B67" s="295">
        <v>819900000</v>
      </c>
      <c r="C67" s="295">
        <v>0</v>
      </c>
      <c r="D67" s="295">
        <v>819900000</v>
      </c>
      <c r="E67" s="295">
        <v>109665.158</v>
      </c>
      <c r="F67" s="295">
        <v>874503513.097</v>
      </c>
      <c r="G67" s="295">
        <v>151539852</v>
      </c>
      <c r="H67" s="295">
        <v>11.311</v>
      </c>
      <c r="I67" s="295">
        <v>28.468</v>
      </c>
      <c r="J67" s="295">
        <v>248954568.93700001</v>
      </c>
      <c r="K67" s="295">
        <v>106.66</v>
      </c>
      <c r="L67" s="295">
        <v>17.329000000000001</v>
      </c>
      <c r="M67" s="295">
        <v>73</v>
      </c>
      <c r="N67" s="295">
        <v>2855181.818</v>
      </c>
      <c r="O67" s="295">
        <v>3184500</v>
      </c>
      <c r="P67" s="295">
        <v>0</v>
      </c>
      <c r="Q67" s="295">
        <v>27.393000000000001</v>
      </c>
      <c r="R67" s="295">
        <v>782108.17799999996</v>
      </c>
      <c r="S67" s="295">
        <v>0</v>
      </c>
      <c r="T67" s="295">
        <v>111.53400000000001</v>
      </c>
      <c r="U67" s="295">
        <v>109738.158</v>
      </c>
      <c r="V67" s="295">
        <v>877358694.91499996</v>
      </c>
      <c r="W67" s="295">
        <v>154724352</v>
      </c>
      <c r="X67" s="295">
        <v>11.311</v>
      </c>
      <c r="Y67" s="295">
        <v>28.465</v>
      </c>
      <c r="Z67" s="295">
        <v>249736677.11500001</v>
      </c>
      <c r="AA67" s="295">
        <v>107.008</v>
      </c>
      <c r="AB67" s="295">
        <v>17.635000000000002</v>
      </c>
      <c r="AC67" s="295" t="s">
        <v>346</v>
      </c>
    </row>
    <row r="68" spans="1:30" x14ac:dyDescent="0.2">
      <c r="A68" s="295" t="s">
        <v>230</v>
      </c>
      <c r="B68" s="295">
        <v>520000000</v>
      </c>
      <c r="C68" s="295">
        <v>0</v>
      </c>
      <c r="D68" s="295">
        <v>520000000</v>
      </c>
      <c r="E68" s="295">
        <v>101375</v>
      </c>
      <c r="F68" s="295">
        <v>522561229.72600001</v>
      </c>
      <c r="G68" s="295">
        <v>39589133</v>
      </c>
      <c r="H68" s="295">
        <v>11.05</v>
      </c>
      <c r="I68" s="295">
        <v>13.101000000000001</v>
      </c>
      <c r="J68" s="295">
        <v>68460677.025999993</v>
      </c>
      <c r="K68" s="295">
        <v>100.49299999999999</v>
      </c>
      <c r="L68" s="295">
        <v>7.5759999999999996</v>
      </c>
      <c r="M68" s="295">
        <v>19</v>
      </c>
      <c r="N68" s="295">
        <v>238260.90900000001</v>
      </c>
      <c r="O68" s="295">
        <v>201163</v>
      </c>
      <c r="P68" s="295">
        <v>0</v>
      </c>
      <c r="Q68" s="295">
        <v>21.116</v>
      </c>
      <c r="R68" s="295">
        <v>50310.819000000003</v>
      </c>
      <c r="S68" s="295">
        <v>0</v>
      </c>
      <c r="T68" s="295">
        <v>84.43</v>
      </c>
      <c r="U68" s="295">
        <v>101394</v>
      </c>
      <c r="V68" s="295">
        <v>522799490.63499999</v>
      </c>
      <c r="W68" s="295">
        <v>39790296</v>
      </c>
      <c r="X68" s="295">
        <v>11.05</v>
      </c>
      <c r="Y68" s="295">
        <v>13.105</v>
      </c>
      <c r="Z68" s="295">
        <v>68510987.844999999</v>
      </c>
      <c r="AA68" s="295">
        <v>100.538</v>
      </c>
      <c r="AB68" s="295">
        <v>7.6109999999999998</v>
      </c>
      <c r="AC68" s="295" t="s">
        <v>346</v>
      </c>
    </row>
    <row r="69" spans="1:30" x14ac:dyDescent="0.2">
      <c r="A69" s="295" t="s">
        <v>299</v>
      </c>
      <c r="B69" s="295">
        <v>1057800000</v>
      </c>
      <c r="C69" s="295">
        <v>62200000</v>
      </c>
      <c r="D69" s="295">
        <v>1120000000</v>
      </c>
      <c r="E69" s="295">
        <v>95310.323999999993</v>
      </c>
      <c r="F69" s="295">
        <v>1022006202.402</v>
      </c>
      <c r="G69" s="295">
        <v>158454990</v>
      </c>
      <c r="H69" s="295">
        <v>12.742000000000001</v>
      </c>
      <c r="I69" s="295">
        <v>13.81</v>
      </c>
      <c r="J69" s="295">
        <v>141143323.972</v>
      </c>
      <c r="K69" s="295">
        <v>96.616</v>
      </c>
      <c r="L69" s="295">
        <v>15.504</v>
      </c>
      <c r="M69" s="295">
        <v>571</v>
      </c>
      <c r="N69" s="295">
        <v>37133047.270999998</v>
      </c>
      <c r="O69" s="295">
        <v>17411823</v>
      </c>
      <c r="P69" s="295">
        <v>25.707000000000001</v>
      </c>
      <c r="Q69" s="295">
        <v>23.513999999999999</v>
      </c>
      <c r="R69" s="295">
        <v>8731481.4210000001</v>
      </c>
      <c r="S69" s="295">
        <v>59.698999999999998</v>
      </c>
      <c r="T69" s="295">
        <v>46.89</v>
      </c>
      <c r="U69" s="295">
        <v>95881.323999999993</v>
      </c>
      <c r="V69" s="295">
        <v>1059139249.673</v>
      </c>
      <c r="W69" s="295">
        <v>175866813</v>
      </c>
      <c r="X69" s="295">
        <v>13.462</v>
      </c>
      <c r="Y69" s="295">
        <v>14.151</v>
      </c>
      <c r="Z69" s="295">
        <v>149874805.39300001</v>
      </c>
      <c r="AA69" s="295">
        <v>94.566000000000003</v>
      </c>
      <c r="AB69" s="295">
        <v>16.605</v>
      </c>
      <c r="AC69" s="295" t="s">
        <v>346</v>
      </c>
      <c r="AD69" s="295">
        <v>7.9919337869196703</v>
      </c>
    </row>
    <row r="70" spans="1:30" x14ac:dyDescent="0.2">
      <c r="A70" s="295" t="s">
        <v>231</v>
      </c>
      <c r="B70" s="295">
        <v>590100000</v>
      </c>
      <c r="C70" s="295">
        <v>0</v>
      </c>
      <c r="D70" s="295">
        <v>590100000</v>
      </c>
      <c r="E70" s="295">
        <v>73708.789999999994</v>
      </c>
      <c r="F70" s="295">
        <v>525558709.45999998</v>
      </c>
      <c r="G70" s="295">
        <v>33543781</v>
      </c>
      <c r="H70" s="295">
        <v>11.234</v>
      </c>
      <c r="I70" s="295">
        <v>10.561</v>
      </c>
      <c r="J70" s="295">
        <v>55506365.359999999</v>
      </c>
      <c r="K70" s="295">
        <v>89.063000000000002</v>
      </c>
      <c r="L70" s="295">
        <v>6.3819999999999997</v>
      </c>
      <c r="M70" s="295">
        <v>63</v>
      </c>
      <c r="N70" s="295">
        <v>2639020.0010000002</v>
      </c>
      <c r="O70" s="295">
        <v>2816018</v>
      </c>
      <c r="P70" s="295">
        <v>0</v>
      </c>
      <c r="Q70" s="295">
        <v>27.802</v>
      </c>
      <c r="R70" s="295">
        <v>733699.451</v>
      </c>
      <c r="S70" s="295">
        <v>0</v>
      </c>
      <c r="T70" s="295">
        <v>106.70699999999999</v>
      </c>
      <c r="U70" s="295">
        <v>73771.789999999994</v>
      </c>
      <c r="V70" s="295">
        <v>528197729.46100003</v>
      </c>
      <c r="W70" s="295">
        <v>36359799</v>
      </c>
      <c r="X70" s="295">
        <v>11.234</v>
      </c>
      <c r="Y70" s="295">
        <v>10.648</v>
      </c>
      <c r="Z70" s="295">
        <v>56240064.810999997</v>
      </c>
      <c r="AA70" s="295">
        <v>89.51</v>
      </c>
      <c r="AB70" s="295">
        <v>6.8840000000000003</v>
      </c>
      <c r="AC70" s="295" t="s">
        <v>346</v>
      </c>
    </row>
    <row r="71" spans="1:30" x14ac:dyDescent="0.2">
      <c r="A71" s="295" t="s">
        <v>300</v>
      </c>
      <c r="B71" s="295">
        <v>580000000</v>
      </c>
      <c r="C71" s="295">
        <v>10000000</v>
      </c>
      <c r="D71" s="295">
        <v>590000000</v>
      </c>
      <c r="E71" s="295">
        <v>70416.464000000007</v>
      </c>
      <c r="F71" s="295">
        <v>560499232.16600001</v>
      </c>
      <c r="G71" s="295">
        <v>52482962</v>
      </c>
      <c r="H71" s="295">
        <v>10.72</v>
      </c>
      <c r="I71" s="295">
        <v>7.5449999999999999</v>
      </c>
      <c r="J71" s="295">
        <v>42288174.656000003</v>
      </c>
      <c r="K71" s="295">
        <v>96.638000000000005</v>
      </c>
      <c r="L71" s="295">
        <v>9.3640000000000008</v>
      </c>
      <c r="M71" s="295">
        <v>77</v>
      </c>
      <c r="N71" s="295">
        <v>5939545.4529999997</v>
      </c>
      <c r="O71" s="295">
        <v>5782000</v>
      </c>
      <c r="P71" s="295">
        <v>24.119</v>
      </c>
      <c r="Q71" s="295">
        <v>23.718</v>
      </c>
      <c r="R71" s="295">
        <v>1408739.0430000001</v>
      </c>
      <c r="S71" s="295">
        <v>59.395000000000003</v>
      </c>
      <c r="T71" s="295">
        <v>97.347999999999999</v>
      </c>
      <c r="U71" s="295">
        <v>70493.464000000007</v>
      </c>
      <c r="V71" s="295">
        <v>566438777.61899996</v>
      </c>
      <c r="W71" s="295">
        <v>58264962</v>
      </c>
      <c r="X71" s="295">
        <v>10.946999999999999</v>
      </c>
      <c r="Y71" s="295">
        <v>7.7140000000000004</v>
      </c>
      <c r="Z71" s="295">
        <v>43696913.699000001</v>
      </c>
      <c r="AA71" s="295">
        <v>96.007000000000005</v>
      </c>
      <c r="AB71" s="295">
        <v>10.286</v>
      </c>
      <c r="AC71" s="295" t="s">
        <v>344</v>
      </c>
    </row>
    <row r="72" spans="1:30" x14ac:dyDescent="0.2">
      <c r="A72" s="295" t="s">
        <v>301</v>
      </c>
      <c r="B72" s="295">
        <v>2660000000</v>
      </c>
      <c r="C72" s="295">
        <v>150000000</v>
      </c>
      <c r="D72" s="295">
        <v>2810000000</v>
      </c>
      <c r="E72" s="295">
        <v>391593.60100000002</v>
      </c>
      <c r="F72" s="295">
        <v>2463229484.3569999</v>
      </c>
      <c r="G72" s="295">
        <v>155455862</v>
      </c>
      <c r="H72" s="295">
        <v>12.96</v>
      </c>
      <c r="I72" s="295">
        <v>12.097</v>
      </c>
      <c r="J72" s="295">
        <v>297973439.11699998</v>
      </c>
      <c r="K72" s="295">
        <v>92.602999999999994</v>
      </c>
      <c r="L72" s="295">
        <v>6.3109999999999999</v>
      </c>
      <c r="M72" s="295">
        <v>2841</v>
      </c>
      <c r="N72" s="295">
        <v>77430410</v>
      </c>
      <c r="O72" s="295">
        <v>29148674</v>
      </c>
      <c r="P72" s="295">
        <v>24.501000000000001</v>
      </c>
      <c r="Q72" s="295">
        <v>22.187000000000001</v>
      </c>
      <c r="R72" s="295">
        <v>17179376.73</v>
      </c>
      <c r="S72" s="295">
        <v>51.62</v>
      </c>
      <c r="T72" s="295">
        <v>37.645000000000003</v>
      </c>
      <c r="U72" s="295">
        <v>394434.60100000002</v>
      </c>
      <c r="V72" s="295">
        <v>2540659894.3569999</v>
      </c>
      <c r="W72" s="295">
        <v>184604536</v>
      </c>
      <c r="X72" s="295">
        <v>13.576000000000001</v>
      </c>
      <c r="Y72" s="295">
        <v>12.404</v>
      </c>
      <c r="Z72" s="295">
        <v>315152815.847</v>
      </c>
      <c r="AA72" s="295">
        <v>90.415000000000006</v>
      </c>
      <c r="AB72" s="295">
        <v>7.266</v>
      </c>
      <c r="AC72" s="295" t="s">
        <v>344</v>
      </c>
    </row>
    <row r="73" spans="1:30" x14ac:dyDescent="0.2">
      <c r="A73" s="295" t="s">
        <v>330</v>
      </c>
      <c r="B73" s="295">
        <v>150000000</v>
      </c>
      <c r="C73" s="295">
        <v>0</v>
      </c>
      <c r="D73" s="295">
        <v>150000000</v>
      </c>
      <c r="E73" s="295">
        <v>12630</v>
      </c>
      <c r="F73" s="295">
        <v>129948904.543</v>
      </c>
      <c r="G73" s="295">
        <v>17360115</v>
      </c>
      <c r="H73" s="295">
        <v>10.916</v>
      </c>
      <c r="I73" s="295">
        <v>31.956</v>
      </c>
      <c r="J73" s="295">
        <v>41526569.682999998</v>
      </c>
      <c r="K73" s="295">
        <v>86.632999999999996</v>
      </c>
      <c r="L73" s="295">
        <v>13.359</v>
      </c>
      <c r="M73" s="295">
        <v>53</v>
      </c>
      <c r="N73" s="295">
        <v>5506818.182</v>
      </c>
      <c r="O73" s="295">
        <v>6057500</v>
      </c>
      <c r="P73" s="295">
        <v>0</v>
      </c>
      <c r="Q73" s="295">
        <v>25</v>
      </c>
      <c r="R73" s="295">
        <v>1376704.5319999999</v>
      </c>
      <c r="S73" s="295">
        <v>0</v>
      </c>
      <c r="T73" s="295">
        <v>110</v>
      </c>
      <c r="U73" s="295">
        <v>12683</v>
      </c>
      <c r="V73" s="295">
        <v>135455722.72499999</v>
      </c>
      <c r="W73" s="295">
        <v>23417615</v>
      </c>
      <c r="X73" s="295">
        <v>10.916</v>
      </c>
      <c r="Y73" s="295">
        <v>31.672999999999998</v>
      </c>
      <c r="Z73" s="295">
        <v>42903274.215000004</v>
      </c>
      <c r="AA73" s="295">
        <v>90.304000000000002</v>
      </c>
      <c r="AB73" s="295">
        <v>17.288</v>
      </c>
      <c r="AC73" s="295" t="s">
        <v>346</v>
      </c>
    </row>
    <row r="74" spans="1:30" x14ac:dyDescent="0.2">
      <c r="A74" s="295" t="s">
        <v>302</v>
      </c>
      <c r="B74" s="295">
        <v>5010000000</v>
      </c>
      <c r="C74" s="295">
        <v>0</v>
      </c>
      <c r="D74" s="295">
        <v>5010000000</v>
      </c>
      <c r="E74" s="295">
        <v>148800</v>
      </c>
      <c r="F74" s="295">
        <v>1781726943</v>
      </c>
      <c r="G74" s="295">
        <v>0</v>
      </c>
      <c r="H74" s="295">
        <v>2.052</v>
      </c>
      <c r="I74" s="295">
        <v>-10.912000000000001</v>
      </c>
      <c r="J74" s="295">
        <v>-194423109</v>
      </c>
      <c r="K74" s="295">
        <v>35.563000000000002</v>
      </c>
      <c r="L74" s="295">
        <v>0</v>
      </c>
      <c r="P74" s="295">
        <v>0</v>
      </c>
      <c r="Q74" s="295">
        <v>0</v>
      </c>
      <c r="R74" s="295">
        <v>0</v>
      </c>
      <c r="S74" s="295">
        <v>0</v>
      </c>
      <c r="T74" s="295">
        <v>0</v>
      </c>
      <c r="U74" s="295">
        <v>148800</v>
      </c>
      <c r="V74" s="295">
        <v>1781726943</v>
      </c>
      <c r="W74" s="295">
        <v>0</v>
      </c>
      <c r="X74" s="295">
        <v>2.052</v>
      </c>
      <c r="Y74" s="295">
        <v>-10.912000000000001</v>
      </c>
      <c r="Z74" s="295">
        <v>-194423109</v>
      </c>
      <c r="AA74" s="295">
        <v>35.563000000000002</v>
      </c>
      <c r="AB74" s="295">
        <v>0</v>
      </c>
      <c r="AC74" s="295" t="s">
        <v>346</v>
      </c>
    </row>
    <row r="75" spans="1:30" x14ac:dyDescent="0.2">
      <c r="A75" s="295" t="s">
        <v>203</v>
      </c>
      <c r="B75" s="295">
        <v>59325000000</v>
      </c>
      <c r="C75" s="295">
        <v>1425100000</v>
      </c>
      <c r="D75" s="295">
        <v>60750100000</v>
      </c>
      <c r="E75" s="295">
        <v>6052012.4759999895</v>
      </c>
      <c r="F75" s="295">
        <v>49081721163.989998</v>
      </c>
      <c r="G75" s="295">
        <v>4292899044</v>
      </c>
      <c r="H75" s="295">
        <v>11.026999999999999</v>
      </c>
      <c r="I75" s="295">
        <v>11.709</v>
      </c>
      <c r="J75" s="295">
        <v>5747219840.3900003</v>
      </c>
      <c r="K75" s="295">
        <v>82.733999999999995</v>
      </c>
      <c r="L75" s="295">
        <v>8.7460000000000004</v>
      </c>
      <c r="M75" s="295">
        <v>41439</v>
      </c>
      <c r="N75" s="295">
        <v>1029474893.808</v>
      </c>
      <c r="O75" s="295">
        <v>452176145</v>
      </c>
      <c r="P75" s="295">
        <v>24.963999999999999</v>
      </c>
      <c r="Q75" s="295">
        <v>22.866</v>
      </c>
      <c r="R75" s="295">
        <v>235402859.778</v>
      </c>
      <c r="S75" s="295">
        <v>72.239000000000004</v>
      </c>
      <c r="T75" s="295">
        <v>43.923000000000002</v>
      </c>
      <c r="U75" s="295">
        <v>6093451.4759999895</v>
      </c>
      <c r="V75" s="295">
        <v>50111196057.797897</v>
      </c>
      <c r="W75" s="295">
        <v>4745075189</v>
      </c>
      <c r="X75" s="295">
        <v>11.353999999999999</v>
      </c>
      <c r="Y75" s="295">
        <v>11.939</v>
      </c>
      <c r="Z75" s="295">
        <v>5982622700.1680002</v>
      </c>
      <c r="AA75" s="295">
        <v>82.486999999999995</v>
      </c>
      <c r="AB75" s="295">
        <v>9.4689999999999994</v>
      </c>
    </row>
    <row r="77" spans="1:30" x14ac:dyDescent="0.2">
      <c r="A77" s="295" t="s">
        <v>232</v>
      </c>
    </row>
    <row r="78" spans="1:30" x14ac:dyDescent="0.2">
      <c r="A78" s="295" t="s">
        <v>233</v>
      </c>
      <c r="B78" s="295">
        <v>730000000</v>
      </c>
      <c r="C78" s="295">
        <v>10000000</v>
      </c>
      <c r="D78" s="295">
        <v>740000000</v>
      </c>
      <c r="E78" s="295">
        <v>42409.853999999999</v>
      </c>
      <c r="F78" s="295">
        <v>564681145.01100004</v>
      </c>
      <c r="G78" s="295">
        <v>64634874</v>
      </c>
      <c r="H78" s="295">
        <v>11.397</v>
      </c>
      <c r="I78" s="295">
        <v>6.2350000000000003</v>
      </c>
      <c r="J78" s="295">
        <v>35205301.120999999</v>
      </c>
      <c r="K78" s="295">
        <v>77.353999999999999</v>
      </c>
      <c r="L78" s="295">
        <v>11.446</v>
      </c>
      <c r="M78" s="295">
        <v>719</v>
      </c>
      <c r="N78" s="295">
        <v>16937797.274</v>
      </c>
      <c r="O78" s="295">
        <v>8121465</v>
      </c>
      <c r="P78" s="295">
        <v>25.789000000000001</v>
      </c>
      <c r="Q78" s="295">
        <v>22.622</v>
      </c>
      <c r="R78" s="295">
        <v>3831603.1540000001</v>
      </c>
      <c r="S78" s="295">
        <v>169.37799999999999</v>
      </c>
      <c r="T78" s="295">
        <v>47.948999999999998</v>
      </c>
      <c r="U78" s="295">
        <v>43128.853999999999</v>
      </c>
      <c r="V78" s="295">
        <v>581618942.28499997</v>
      </c>
      <c r="W78" s="295">
        <v>72756339</v>
      </c>
      <c r="X78" s="295">
        <v>11.590999999999999</v>
      </c>
      <c r="Y78" s="295">
        <v>6.7119999999999997</v>
      </c>
      <c r="Z78" s="295">
        <v>39036904.274999999</v>
      </c>
      <c r="AA78" s="295">
        <v>78.596999999999994</v>
      </c>
      <c r="AB78" s="295">
        <v>12.509</v>
      </c>
      <c r="AC78" s="295" t="s">
        <v>346</v>
      </c>
    </row>
    <row r="79" spans="1:30" x14ac:dyDescent="0.2">
      <c r="A79" s="295" t="s">
        <v>303</v>
      </c>
      <c r="B79" s="295">
        <v>2280000000</v>
      </c>
      <c r="C79" s="295">
        <v>30000000</v>
      </c>
      <c r="D79" s="295">
        <v>2310000000</v>
      </c>
      <c r="E79" s="295">
        <v>135414.005</v>
      </c>
      <c r="F79" s="295">
        <v>1929807483.198</v>
      </c>
      <c r="G79" s="295">
        <v>205829600</v>
      </c>
      <c r="H79" s="295">
        <v>17.940999999999999</v>
      </c>
      <c r="I79" s="295">
        <v>23.277000000000001</v>
      </c>
      <c r="J79" s="295">
        <v>449200509.528</v>
      </c>
      <c r="K79" s="295">
        <v>84.641000000000005</v>
      </c>
      <c r="L79" s="295">
        <v>10.666</v>
      </c>
      <c r="M79" s="295">
        <v>547</v>
      </c>
      <c r="N79" s="295">
        <v>22386609.090999998</v>
      </c>
      <c r="O79" s="295">
        <v>24930</v>
      </c>
      <c r="P79" s="295">
        <v>28.844999999999999</v>
      </c>
      <c r="Q79" s="295">
        <v>17.503</v>
      </c>
      <c r="R79" s="295">
        <v>3918245.8110000002</v>
      </c>
      <c r="S79" s="295">
        <v>74.622</v>
      </c>
      <c r="T79" s="295">
        <v>0.111</v>
      </c>
      <c r="U79" s="295">
        <v>135961.005</v>
      </c>
      <c r="V79" s="295">
        <v>1952194092.289</v>
      </c>
      <c r="W79" s="295">
        <v>205854530</v>
      </c>
      <c r="X79" s="295">
        <v>18.082999999999998</v>
      </c>
      <c r="Y79" s="295">
        <v>23.210999999999999</v>
      </c>
      <c r="Z79" s="295">
        <v>453118755.33899999</v>
      </c>
      <c r="AA79" s="295">
        <v>84.510999999999996</v>
      </c>
      <c r="AB79" s="295">
        <v>10.545</v>
      </c>
      <c r="AC79" s="295" t="s">
        <v>344</v>
      </c>
    </row>
    <row r="80" spans="1:30" x14ac:dyDescent="0.2">
      <c r="A80" s="295" t="s">
        <v>234</v>
      </c>
      <c r="B80" s="295">
        <v>2254500000</v>
      </c>
      <c r="C80" s="295">
        <v>45500000</v>
      </c>
      <c r="D80" s="295">
        <v>2300000000</v>
      </c>
      <c r="E80" s="295">
        <v>239841.09</v>
      </c>
      <c r="F80" s="295">
        <v>2286284167.2810001</v>
      </c>
      <c r="G80" s="295">
        <v>235387225</v>
      </c>
      <c r="H80" s="295">
        <v>11.449</v>
      </c>
      <c r="I80" s="295">
        <v>12.747</v>
      </c>
      <c r="J80" s="295">
        <v>291427942.23100001</v>
      </c>
      <c r="K80" s="295">
        <v>101.41</v>
      </c>
      <c r="L80" s="295">
        <v>10.295999999999999</v>
      </c>
      <c r="M80" s="295">
        <v>602</v>
      </c>
      <c r="N80" s="295">
        <v>37468427.273000002</v>
      </c>
      <c r="O80" s="295">
        <v>24879730</v>
      </c>
      <c r="P80" s="295">
        <v>23.082000000000001</v>
      </c>
      <c r="Q80" s="295">
        <v>21.538</v>
      </c>
      <c r="R80" s="295">
        <v>8070080.9029999999</v>
      </c>
      <c r="S80" s="295">
        <v>82.347999999999999</v>
      </c>
      <c r="T80" s="295">
        <v>66.402000000000001</v>
      </c>
      <c r="U80" s="295">
        <v>240443.09</v>
      </c>
      <c r="V80" s="295">
        <v>2323752594.5539999</v>
      </c>
      <c r="W80" s="295">
        <v>260266955</v>
      </c>
      <c r="X80" s="295">
        <v>11.679</v>
      </c>
      <c r="Y80" s="295">
        <v>12.888999999999999</v>
      </c>
      <c r="Z80" s="295">
        <v>299498023.134</v>
      </c>
      <c r="AA80" s="295">
        <v>101.033</v>
      </c>
      <c r="AB80" s="295">
        <v>11.2</v>
      </c>
      <c r="AC80" s="295" t="s">
        <v>344</v>
      </c>
    </row>
    <row r="81" spans="1:30" x14ac:dyDescent="0.2">
      <c r="A81" s="295" t="s">
        <v>235</v>
      </c>
      <c r="B81" s="295">
        <v>1270000000</v>
      </c>
      <c r="C81" s="295">
        <v>30000000</v>
      </c>
      <c r="D81" s="295">
        <v>1300000000</v>
      </c>
      <c r="E81" s="295">
        <v>82232.282999999996</v>
      </c>
      <c r="F81" s="295">
        <v>1109238431.9059999</v>
      </c>
      <c r="G81" s="295">
        <v>92213102</v>
      </c>
      <c r="H81" s="295">
        <v>15.571</v>
      </c>
      <c r="I81" s="295">
        <v>23.751000000000001</v>
      </c>
      <c r="J81" s="295">
        <v>263458468.956</v>
      </c>
      <c r="K81" s="295">
        <v>87.341999999999999</v>
      </c>
      <c r="L81" s="295">
        <v>8.3130000000000006</v>
      </c>
      <c r="M81" s="295">
        <v>148</v>
      </c>
      <c r="N81" s="295">
        <v>16440836.363</v>
      </c>
      <c r="O81" s="295">
        <v>18067920</v>
      </c>
      <c r="P81" s="295">
        <v>25.762</v>
      </c>
      <c r="Q81" s="295">
        <v>24.977</v>
      </c>
      <c r="R81" s="295">
        <v>4106393.1129999999</v>
      </c>
      <c r="S81" s="295">
        <v>54.802999999999997</v>
      </c>
      <c r="T81" s="295">
        <v>109.89700000000001</v>
      </c>
      <c r="U81" s="295">
        <v>82380.282999999996</v>
      </c>
      <c r="V81" s="295">
        <v>1125679268.2690001</v>
      </c>
      <c r="W81" s="295">
        <v>110281022</v>
      </c>
      <c r="X81" s="295">
        <v>15.805999999999999</v>
      </c>
      <c r="Y81" s="295">
        <v>23.768999999999998</v>
      </c>
      <c r="Z81" s="295">
        <v>267564862.06900001</v>
      </c>
      <c r="AA81" s="295">
        <v>86.590999999999994</v>
      </c>
      <c r="AB81" s="295">
        <v>9.7970000000000006</v>
      </c>
      <c r="AC81" s="295" t="s">
        <v>344</v>
      </c>
    </row>
    <row r="82" spans="1:30" x14ac:dyDescent="0.2">
      <c r="A82" s="295" t="s">
        <v>236</v>
      </c>
      <c r="B82" s="295">
        <v>630000000</v>
      </c>
      <c r="C82" s="295">
        <v>30000000</v>
      </c>
      <c r="D82" s="295">
        <v>660000000</v>
      </c>
      <c r="E82" s="295">
        <v>46494.936999999998</v>
      </c>
      <c r="F82" s="295">
        <v>722842622.43700004</v>
      </c>
      <c r="G82" s="295">
        <v>76492564</v>
      </c>
      <c r="H82" s="295">
        <v>10.492000000000001</v>
      </c>
      <c r="I82" s="295">
        <v>3.5950000000000002</v>
      </c>
      <c r="J82" s="295">
        <v>25986083.116999999</v>
      </c>
      <c r="K82" s="295">
        <v>114.73699999999999</v>
      </c>
      <c r="L82" s="295">
        <v>10.582000000000001</v>
      </c>
      <c r="M82" s="295">
        <v>187</v>
      </c>
      <c r="N82" s="295">
        <v>14900022.728</v>
      </c>
      <c r="O82" s="295">
        <v>14858275</v>
      </c>
      <c r="P82" s="295">
        <v>25.33</v>
      </c>
      <c r="Q82" s="295">
        <v>26.382000000000001</v>
      </c>
      <c r="R82" s="295">
        <v>3930896.3679999998</v>
      </c>
      <c r="S82" s="295">
        <v>49.667000000000002</v>
      </c>
      <c r="T82" s="295">
        <v>99.72</v>
      </c>
      <c r="U82" s="295">
        <v>46681.936999999998</v>
      </c>
      <c r="V82" s="295">
        <v>737742645.16499996</v>
      </c>
      <c r="W82" s="295">
        <v>91350839</v>
      </c>
      <c r="X82" s="295">
        <v>11.167</v>
      </c>
      <c r="Y82" s="295">
        <v>4.0549999999999997</v>
      </c>
      <c r="Z82" s="295">
        <v>29916979.484999999</v>
      </c>
      <c r="AA82" s="295">
        <v>111.779</v>
      </c>
      <c r="AB82" s="295">
        <v>12.382</v>
      </c>
      <c r="AC82" s="295" t="s">
        <v>346</v>
      </c>
    </row>
    <row r="83" spans="1:30" x14ac:dyDescent="0.2">
      <c r="A83" s="295" t="s">
        <v>304</v>
      </c>
      <c r="B83" s="295">
        <v>3050000000</v>
      </c>
      <c r="C83" s="295">
        <v>70000000</v>
      </c>
      <c r="D83" s="295">
        <v>3120000000</v>
      </c>
      <c r="E83" s="295">
        <v>228403.52499999999</v>
      </c>
      <c r="F83" s="295">
        <v>2928939717.54</v>
      </c>
      <c r="G83" s="295">
        <v>267573074</v>
      </c>
      <c r="H83" s="295">
        <v>11.329000000000001</v>
      </c>
      <c r="I83" s="295">
        <v>22.855</v>
      </c>
      <c r="J83" s="295">
        <v>669421978.79999995</v>
      </c>
      <c r="K83" s="295">
        <v>96.031000000000006</v>
      </c>
      <c r="L83" s="295">
        <v>9.1349999999999998</v>
      </c>
      <c r="M83" s="295">
        <v>1078</v>
      </c>
      <c r="N83" s="295">
        <v>72001054.547000006</v>
      </c>
      <c r="O83" s="295">
        <v>50057540</v>
      </c>
      <c r="P83" s="295">
        <v>23.545000000000002</v>
      </c>
      <c r="Q83" s="295">
        <v>23.288</v>
      </c>
      <c r="R83" s="295">
        <v>16767289.107000001</v>
      </c>
      <c r="S83" s="295">
        <v>102.85899999999999</v>
      </c>
      <c r="T83" s="295">
        <v>69.522999999999996</v>
      </c>
      <c r="U83" s="295">
        <v>229481.52499999999</v>
      </c>
      <c r="V83" s="295">
        <v>3000940772.0869999</v>
      </c>
      <c r="W83" s="295">
        <v>317630614</v>
      </c>
      <c r="X83" s="295">
        <v>11.603</v>
      </c>
      <c r="Y83" s="295">
        <v>22.866</v>
      </c>
      <c r="Z83" s="295">
        <v>686189267.90699995</v>
      </c>
      <c r="AA83" s="295">
        <v>96.183999999999997</v>
      </c>
      <c r="AB83" s="295">
        <v>10.584</v>
      </c>
      <c r="AC83" s="295" t="s">
        <v>344</v>
      </c>
    </row>
    <row r="84" spans="1:30" x14ac:dyDescent="0.2">
      <c r="A84" s="295" t="s">
        <v>237</v>
      </c>
      <c r="B84" s="295">
        <v>1080000000</v>
      </c>
      <c r="C84" s="295">
        <v>20000000</v>
      </c>
      <c r="D84" s="295">
        <v>1100000000</v>
      </c>
      <c r="E84" s="295">
        <v>80239.577999999994</v>
      </c>
      <c r="F84" s="295">
        <v>954797522.64600003</v>
      </c>
      <c r="G84" s="295">
        <v>92490242</v>
      </c>
      <c r="H84" s="295">
        <v>10.949</v>
      </c>
      <c r="I84" s="295">
        <v>14.622</v>
      </c>
      <c r="J84" s="295">
        <v>139613554.18599999</v>
      </c>
      <c r="K84" s="295">
        <v>88.406999999999996</v>
      </c>
      <c r="L84" s="295">
        <v>9.6869999999999994</v>
      </c>
      <c r="M84" s="295">
        <v>284</v>
      </c>
      <c r="N84" s="295">
        <v>19115172.727000002</v>
      </c>
      <c r="O84" s="295">
        <v>12852010</v>
      </c>
      <c r="P84" s="295">
        <v>24.379000000000001</v>
      </c>
      <c r="Q84" s="295">
        <v>22.652999999999999</v>
      </c>
      <c r="R84" s="295">
        <v>4330157.2869999995</v>
      </c>
      <c r="S84" s="295">
        <v>95.575999999999993</v>
      </c>
      <c r="T84" s="295">
        <v>67.234999999999999</v>
      </c>
      <c r="U84" s="295">
        <v>80523.577999999994</v>
      </c>
      <c r="V84" s="295">
        <v>973912695.37300003</v>
      </c>
      <c r="W84" s="295">
        <v>105342252</v>
      </c>
      <c r="X84" s="295">
        <v>11.193</v>
      </c>
      <c r="Y84" s="295">
        <v>14.78</v>
      </c>
      <c r="Z84" s="295">
        <v>143943711.47299999</v>
      </c>
      <c r="AA84" s="295">
        <v>88.537999999999997</v>
      </c>
      <c r="AB84" s="295">
        <v>10.816000000000001</v>
      </c>
      <c r="AC84" s="295" t="s">
        <v>346</v>
      </c>
    </row>
    <row r="85" spans="1:30" x14ac:dyDescent="0.2">
      <c r="A85" s="295" t="s">
        <v>238</v>
      </c>
      <c r="B85" s="295">
        <v>1680000000</v>
      </c>
      <c r="C85" s="295">
        <v>70000000</v>
      </c>
      <c r="D85" s="295">
        <v>1750000000</v>
      </c>
      <c r="E85" s="295">
        <v>94178.076000000001</v>
      </c>
      <c r="F85" s="295">
        <v>1236409187.1960001</v>
      </c>
      <c r="G85" s="295">
        <v>79516519</v>
      </c>
      <c r="H85" s="295">
        <v>11.74</v>
      </c>
      <c r="I85" s="295">
        <v>19.978000000000002</v>
      </c>
      <c r="J85" s="295">
        <v>247013455.866</v>
      </c>
      <c r="K85" s="295">
        <v>73.596000000000004</v>
      </c>
      <c r="L85" s="295">
        <v>6.431</v>
      </c>
      <c r="M85" s="295">
        <v>1250</v>
      </c>
      <c r="N85" s="295">
        <v>39728368.181999996</v>
      </c>
      <c r="O85" s="295">
        <v>19072795</v>
      </c>
      <c r="P85" s="295">
        <v>21.736999999999998</v>
      </c>
      <c r="Q85" s="295">
        <v>21.132000000000001</v>
      </c>
      <c r="R85" s="295">
        <v>8395509.9820000008</v>
      </c>
      <c r="S85" s="295">
        <v>56.755000000000003</v>
      </c>
      <c r="T85" s="295">
        <v>48.008000000000003</v>
      </c>
      <c r="U85" s="295">
        <v>95428.076000000001</v>
      </c>
      <c r="V85" s="295">
        <v>1276137555.378</v>
      </c>
      <c r="W85" s="295">
        <v>98589314</v>
      </c>
      <c r="X85" s="295">
        <v>12.14</v>
      </c>
      <c r="Y85" s="295">
        <v>20.013999999999999</v>
      </c>
      <c r="Z85" s="295">
        <v>255408965.84799999</v>
      </c>
      <c r="AA85" s="295">
        <v>72.921999999999997</v>
      </c>
      <c r="AB85" s="295">
        <v>7.726</v>
      </c>
      <c r="AC85" s="295" t="s">
        <v>344</v>
      </c>
      <c r="AD85" s="295">
        <v>6.4743536798402301</v>
      </c>
    </row>
    <row r="86" spans="1:30" x14ac:dyDescent="0.2">
      <c r="A86" s="295" t="s">
        <v>239</v>
      </c>
      <c r="B86" s="295">
        <v>970000000</v>
      </c>
      <c r="C86" s="295">
        <v>0</v>
      </c>
      <c r="D86" s="295">
        <v>970000000</v>
      </c>
      <c r="E86" s="295">
        <v>72999.096000000005</v>
      </c>
      <c r="F86" s="295">
        <v>728692806.53299999</v>
      </c>
      <c r="G86" s="295">
        <v>78176606</v>
      </c>
      <c r="H86" s="295">
        <v>15.087999999999999</v>
      </c>
      <c r="I86" s="295">
        <v>12.491</v>
      </c>
      <c r="J86" s="295">
        <v>91020443.033000007</v>
      </c>
      <c r="K86" s="295">
        <v>75.123000000000005</v>
      </c>
      <c r="L86" s="295">
        <v>10.728</v>
      </c>
      <c r="M86" s="295">
        <v>0</v>
      </c>
      <c r="N86" s="295">
        <v>0</v>
      </c>
      <c r="O86" s="295">
        <v>0</v>
      </c>
      <c r="P86" s="295">
        <v>0</v>
      </c>
      <c r="Q86" s="295">
        <v>0</v>
      </c>
      <c r="R86" s="295">
        <v>0</v>
      </c>
      <c r="S86" s="295">
        <v>0</v>
      </c>
      <c r="T86" s="295">
        <v>0</v>
      </c>
      <c r="U86" s="295">
        <v>72999.096000000005</v>
      </c>
      <c r="V86" s="295">
        <v>728692806.53299999</v>
      </c>
      <c r="W86" s="295">
        <v>78176606</v>
      </c>
      <c r="X86" s="295">
        <v>15.087999999999999</v>
      </c>
      <c r="Y86" s="295">
        <v>12.491</v>
      </c>
      <c r="Z86" s="295">
        <v>91020443.033000007</v>
      </c>
      <c r="AA86" s="295">
        <v>75.123000000000005</v>
      </c>
      <c r="AB86" s="295">
        <v>10.728</v>
      </c>
      <c r="AC86" s="295" t="s">
        <v>346</v>
      </c>
    </row>
    <row r="87" spans="1:30" x14ac:dyDescent="0.2">
      <c r="A87" s="295" t="s">
        <v>240</v>
      </c>
      <c r="B87" s="295">
        <v>550000000</v>
      </c>
      <c r="C87" s="295">
        <v>0</v>
      </c>
      <c r="D87" s="295">
        <v>550000000</v>
      </c>
      <c r="E87" s="295">
        <v>47976.696000000004</v>
      </c>
      <c r="F87" s="295">
        <v>492533063.08600003</v>
      </c>
      <c r="G87" s="295">
        <v>59992781</v>
      </c>
      <c r="H87" s="295">
        <v>13.144</v>
      </c>
      <c r="I87" s="295">
        <v>11.99</v>
      </c>
      <c r="J87" s="295">
        <v>59052327.925999999</v>
      </c>
      <c r="K87" s="295">
        <v>89.551000000000002</v>
      </c>
      <c r="L87" s="295">
        <v>12.18</v>
      </c>
      <c r="M87" s="295">
        <v>8</v>
      </c>
      <c r="N87" s="295">
        <v>254545.45499999999</v>
      </c>
      <c r="O87" s="295">
        <v>0</v>
      </c>
      <c r="P87" s="295">
        <v>0</v>
      </c>
      <c r="Q87" s="295">
        <v>20</v>
      </c>
      <c r="R87" s="295">
        <v>50909.074999999997</v>
      </c>
      <c r="S87" s="295">
        <v>0</v>
      </c>
      <c r="T87" s="295">
        <v>0</v>
      </c>
      <c r="U87" s="295">
        <v>47984.696000000004</v>
      </c>
      <c r="V87" s="295">
        <v>492787608.54100001</v>
      </c>
      <c r="W87" s="295">
        <v>59992781</v>
      </c>
      <c r="X87" s="295">
        <v>13.144</v>
      </c>
      <c r="Y87" s="295">
        <v>11.994</v>
      </c>
      <c r="Z87" s="295">
        <v>59103237.001000002</v>
      </c>
      <c r="AA87" s="295">
        <v>89.597999999999999</v>
      </c>
      <c r="AB87" s="295">
        <v>12.173999999999999</v>
      </c>
      <c r="AC87" s="295" t="s">
        <v>346</v>
      </c>
    </row>
    <row r="88" spans="1:30" x14ac:dyDescent="0.2">
      <c r="A88" s="295" t="s">
        <v>241</v>
      </c>
      <c r="B88" s="295">
        <v>2920000000</v>
      </c>
      <c r="C88" s="295">
        <v>60000000</v>
      </c>
      <c r="D88" s="295">
        <v>2980000000</v>
      </c>
      <c r="E88" s="295">
        <v>236004.52100000001</v>
      </c>
      <c r="F88" s="295">
        <v>2769595213.803</v>
      </c>
      <c r="G88" s="295">
        <v>241261037</v>
      </c>
      <c r="H88" s="295">
        <v>10.813000000000001</v>
      </c>
      <c r="I88" s="295">
        <v>15.722</v>
      </c>
      <c r="J88" s="295">
        <v>435438055.32300001</v>
      </c>
      <c r="K88" s="295">
        <v>94.849000000000004</v>
      </c>
      <c r="L88" s="295">
        <v>8.7110000000000003</v>
      </c>
      <c r="M88" s="295">
        <v>1558</v>
      </c>
      <c r="N88" s="295">
        <v>49942427.273999996</v>
      </c>
      <c r="O88" s="295">
        <v>26716170</v>
      </c>
      <c r="P88" s="295">
        <v>24.928000000000001</v>
      </c>
      <c r="Q88" s="295">
        <v>21.773</v>
      </c>
      <c r="R88" s="295">
        <v>10873894.554</v>
      </c>
      <c r="S88" s="295">
        <v>83.236999999999995</v>
      </c>
      <c r="T88" s="295">
        <v>53.494</v>
      </c>
      <c r="U88" s="295">
        <v>237562.52100000001</v>
      </c>
      <c r="V88" s="295">
        <v>2819537641.0770001</v>
      </c>
      <c r="W88" s="295">
        <v>267977207</v>
      </c>
      <c r="X88" s="295">
        <v>11.098000000000001</v>
      </c>
      <c r="Y88" s="295">
        <v>15.829000000000001</v>
      </c>
      <c r="Z88" s="295">
        <v>446311949.87699997</v>
      </c>
      <c r="AA88" s="295">
        <v>94.614999999999995</v>
      </c>
      <c r="AB88" s="295">
        <v>9.5039999999999996</v>
      </c>
      <c r="AC88" s="295" t="s">
        <v>344</v>
      </c>
    </row>
    <row r="89" spans="1:30" x14ac:dyDescent="0.2">
      <c r="A89" s="295" t="s">
        <v>242</v>
      </c>
      <c r="B89" s="295">
        <v>950000000</v>
      </c>
      <c r="C89" s="295">
        <v>0</v>
      </c>
      <c r="D89" s="295">
        <v>950000000</v>
      </c>
      <c r="E89" s="295">
        <v>70022.087</v>
      </c>
      <c r="F89" s="295">
        <v>737410364.87199998</v>
      </c>
      <c r="G89" s="295">
        <v>71550308</v>
      </c>
      <c r="H89" s="295">
        <v>11.494999999999999</v>
      </c>
      <c r="I89" s="295">
        <v>4.4130000000000003</v>
      </c>
      <c r="J89" s="295">
        <v>32539520.352000002</v>
      </c>
      <c r="K89" s="295">
        <v>77.622</v>
      </c>
      <c r="L89" s="295">
        <v>9.7029999999999994</v>
      </c>
      <c r="M89" s="295">
        <v>311</v>
      </c>
      <c r="N89" s="295">
        <v>10847113.636</v>
      </c>
      <c r="O89" s="295">
        <v>8936375</v>
      </c>
      <c r="P89" s="295">
        <v>0</v>
      </c>
      <c r="Q89" s="295">
        <v>25.224</v>
      </c>
      <c r="R89" s="295">
        <v>2736090.8459999999</v>
      </c>
      <c r="S89" s="295">
        <v>0</v>
      </c>
      <c r="T89" s="295">
        <v>82.385000000000005</v>
      </c>
      <c r="U89" s="295">
        <v>70333.087</v>
      </c>
      <c r="V89" s="295">
        <v>748257478.50800002</v>
      </c>
      <c r="W89" s="295">
        <v>80486683</v>
      </c>
      <c r="X89" s="295">
        <v>11.494999999999999</v>
      </c>
      <c r="Y89" s="295">
        <v>4.7140000000000004</v>
      </c>
      <c r="Z89" s="295">
        <v>35275611.197999999</v>
      </c>
      <c r="AA89" s="295">
        <v>78.763999999999996</v>
      </c>
      <c r="AB89" s="295">
        <v>10.757</v>
      </c>
      <c r="AC89" s="295" t="s">
        <v>344</v>
      </c>
    </row>
    <row r="90" spans="1:30" x14ac:dyDescent="0.2">
      <c r="A90" s="295" t="s">
        <v>243</v>
      </c>
      <c r="B90" s="295">
        <v>1190000000</v>
      </c>
      <c r="C90" s="295">
        <v>10000000</v>
      </c>
      <c r="D90" s="295">
        <v>1200000000</v>
      </c>
      <c r="E90" s="295">
        <v>92264.83</v>
      </c>
      <c r="F90" s="295">
        <v>909085054.54900002</v>
      </c>
      <c r="G90" s="295">
        <v>119304373</v>
      </c>
      <c r="H90" s="295">
        <v>11.260999999999999</v>
      </c>
      <c r="I90" s="295">
        <v>14.773999999999999</v>
      </c>
      <c r="J90" s="295">
        <v>134304108.51899999</v>
      </c>
      <c r="K90" s="295">
        <v>76.394000000000005</v>
      </c>
      <c r="L90" s="295">
        <v>13.124000000000001</v>
      </c>
      <c r="M90" s="295">
        <v>160</v>
      </c>
      <c r="N90" s="295">
        <v>14663763.636</v>
      </c>
      <c r="O90" s="295">
        <v>12012360</v>
      </c>
      <c r="P90" s="295">
        <v>22.995000000000001</v>
      </c>
      <c r="Q90" s="295">
        <v>22.832000000000001</v>
      </c>
      <c r="R90" s="295">
        <v>3348019.2560000001</v>
      </c>
      <c r="S90" s="295">
        <v>146.63800000000001</v>
      </c>
      <c r="T90" s="295">
        <v>81.918999999999997</v>
      </c>
      <c r="U90" s="295">
        <v>92424.83</v>
      </c>
      <c r="V90" s="295">
        <v>923748818.18499994</v>
      </c>
      <c r="W90" s="295">
        <v>131316733</v>
      </c>
      <c r="X90" s="295">
        <v>11.359</v>
      </c>
      <c r="Y90" s="295">
        <v>14.901</v>
      </c>
      <c r="Z90" s="295">
        <v>137652127.77500001</v>
      </c>
      <c r="AA90" s="295">
        <v>76.978999999999999</v>
      </c>
      <c r="AB90" s="295">
        <v>14.215999999999999</v>
      </c>
      <c r="AC90" s="295" t="s">
        <v>344</v>
      </c>
    </row>
    <row r="91" spans="1:30" x14ac:dyDescent="0.2">
      <c r="A91" s="295" t="s">
        <v>305</v>
      </c>
      <c r="B91" s="295">
        <v>930000000</v>
      </c>
      <c r="C91" s="295">
        <v>0</v>
      </c>
      <c r="D91" s="295">
        <v>930000000</v>
      </c>
      <c r="E91" s="295">
        <v>82192.210000000006</v>
      </c>
      <c r="F91" s="295">
        <v>873379829.18499994</v>
      </c>
      <c r="G91" s="295">
        <v>108826471</v>
      </c>
      <c r="H91" s="295">
        <v>11.372999999999999</v>
      </c>
      <c r="I91" s="295">
        <v>10.683</v>
      </c>
      <c r="J91" s="295">
        <v>93301230.655000001</v>
      </c>
      <c r="K91" s="295">
        <v>93.912000000000006</v>
      </c>
      <c r="L91" s="295">
        <v>12.46</v>
      </c>
      <c r="M91" s="295">
        <v>27</v>
      </c>
      <c r="N91" s="295">
        <v>3111818.1809999999</v>
      </c>
      <c r="O91" s="295">
        <v>3400500</v>
      </c>
      <c r="P91" s="295">
        <v>0</v>
      </c>
      <c r="Q91" s="295">
        <v>25</v>
      </c>
      <c r="R91" s="295">
        <v>777954.52099999995</v>
      </c>
      <c r="S91" s="295">
        <v>0</v>
      </c>
      <c r="T91" s="295">
        <v>109.277</v>
      </c>
      <c r="U91" s="295">
        <v>82219.210000000006</v>
      </c>
      <c r="V91" s="295">
        <v>876491647.36600006</v>
      </c>
      <c r="W91" s="295">
        <v>112226971</v>
      </c>
      <c r="X91" s="295">
        <v>11.372999999999999</v>
      </c>
      <c r="Y91" s="295">
        <v>10.734</v>
      </c>
      <c r="Z91" s="295">
        <v>94079185.175999999</v>
      </c>
      <c r="AA91" s="295">
        <v>94.245999999999995</v>
      </c>
      <c r="AB91" s="295">
        <v>12.804</v>
      </c>
      <c r="AC91" s="295" t="s">
        <v>344</v>
      </c>
    </row>
    <row r="92" spans="1:30" x14ac:dyDescent="0.2">
      <c r="A92" s="295" t="s">
        <v>244</v>
      </c>
      <c r="B92" s="295">
        <v>1860000000</v>
      </c>
      <c r="C92" s="295">
        <v>50000000</v>
      </c>
      <c r="D92" s="295">
        <v>1910000000</v>
      </c>
      <c r="E92" s="295">
        <v>150230.79199999999</v>
      </c>
      <c r="F92" s="295">
        <v>1579636897.1719999</v>
      </c>
      <c r="G92" s="295">
        <v>202517928</v>
      </c>
      <c r="H92" s="295">
        <v>12.162000000000001</v>
      </c>
      <c r="I92" s="295">
        <v>14.03</v>
      </c>
      <c r="J92" s="295">
        <v>221615245.78200001</v>
      </c>
      <c r="K92" s="295">
        <v>84.927000000000007</v>
      </c>
      <c r="L92" s="295">
        <v>12.821</v>
      </c>
      <c r="M92" s="295">
        <v>624</v>
      </c>
      <c r="N92" s="295">
        <v>30606390.909000002</v>
      </c>
      <c r="O92" s="295">
        <v>16881370</v>
      </c>
      <c r="P92" s="295">
        <v>21.966000000000001</v>
      </c>
      <c r="Q92" s="295">
        <v>20.986000000000001</v>
      </c>
      <c r="R92" s="295">
        <v>6423192.7390000001</v>
      </c>
      <c r="S92" s="295">
        <v>61.213000000000001</v>
      </c>
      <c r="T92" s="295">
        <v>55.155999999999999</v>
      </c>
      <c r="U92" s="295">
        <v>150854.79199999999</v>
      </c>
      <c r="V92" s="295">
        <v>1610243288.0810001</v>
      </c>
      <c r="W92" s="295">
        <v>219399298</v>
      </c>
      <c r="X92" s="295">
        <v>12.419</v>
      </c>
      <c r="Y92" s="295">
        <v>14.162000000000001</v>
      </c>
      <c r="Z92" s="295">
        <v>228038438.521</v>
      </c>
      <c r="AA92" s="295">
        <v>84.305999999999997</v>
      </c>
      <c r="AB92" s="295">
        <v>13.625</v>
      </c>
      <c r="AC92" s="295" t="s">
        <v>344</v>
      </c>
    </row>
    <row r="93" spans="1:30" x14ac:dyDescent="0.2">
      <c r="A93" s="295" t="s">
        <v>245</v>
      </c>
      <c r="B93" s="295">
        <v>1010000000</v>
      </c>
      <c r="C93" s="295">
        <v>20000000</v>
      </c>
      <c r="D93" s="295">
        <v>1030000000</v>
      </c>
      <c r="E93" s="295">
        <v>68003.301999999996</v>
      </c>
      <c r="F93" s="295">
        <v>835878054</v>
      </c>
      <c r="G93" s="295">
        <v>80788435</v>
      </c>
      <c r="H93" s="295">
        <v>12.131</v>
      </c>
      <c r="I93" s="295">
        <v>14.554</v>
      </c>
      <c r="J93" s="295">
        <v>121653631.79000001</v>
      </c>
      <c r="K93" s="295">
        <v>82.76</v>
      </c>
      <c r="L93" s="295">
        <v>9.6649999999999991</v>
      </c>
      <c r="M93" s="295">
        <v>629</v>
      </c>
      <c r="N93" s="295">
        <v>16729275</v>
      </c>
      <c r="O93" s="295">
        <v>0</v>
      </c>
      <c r="P93" s="295">
        <v>6.1790000000000003</v>
      </c>
      <c r="Q93" s="295">
        <v>5</v>
      </c>
      <c r="R93" s="295">
        <v>836463.75</v>
      </c>
      <c r="S93" s="295">
        <v>83.646000000000001</v>
      </c>
      <c r="T93" s="295">
        <v>0</v>
      </c>
      <c r="U93" s="295">
        <v>68632.301999999996</v>
      </c>
      <c r="V93" s="295">
        <v>852607329</v>
      </c>
      <c r="W93" s="295">
        <v>80788435</v>
      </c>
      <c r="X93" s="295">
        <v>12.015000000000001</v>
      </c>
      <c r="Y93" s="295">
        <v>14.367000000000001</v>
      </c>
      <c r="Z93" s="295">
        <v>122490095.54000001</v>
      </c>
      <c r="AA93" s="295">
        <v>82.777000000000001</v>
      </c>
      <c r="AB93" s="295">
        <v>9.4749999999999996</v>
      </c>
      <c r="AC93" s="295" t="s">
        <v>344</v>
      </c>
    </row>
    <row r="94" spans="1:30" x14ac:dyDescent="0.2">
      <c r="A94" s="295" t="s">
        <v>246</v>
      </c>
      <c r="B94" s="295">
        <v>929900000</v>
      </c>
      <c r="C94" s="295">
        <v>0</v>
      </c>
      <c r="D94" s="295">
        <v>929900000</v>
      </c>
      <c r="E94" s="295">
        <v>76766.088000000003</v>
      </c>
      <c r="F94" s="295">
        <v>769857928.625</v>
      </c>
      <c r="G94" s="295">
        <v>83412735</v>
      </c>
      <c r="H94" s="295">
        <v>11.157</v>
      </c>
      <c r="I94" s="295">
        <v>10.196999999999999</v>
      </c>
      <c r="J94" s="295">
        <v>78503623.805000007</v>
      </c>
      <c r="K94" s="295">
        <v>82.789000000000001</v>
      </c>
      <c r="L94" s="295">
        <v>10.835000000000001</v>
      </c>
      <c r="M94" s="295">
        <v>16</v>
      </c>
      <c r="N94" s="295">
        <v>317727.27299999999</v>
      </c>
      <c r="O94" s="295">
        <v>0</v>
      </c>
      <c r="P94" s="295">
        <v>0</v>
      </c>
      <c r="Q94" s="295">
        <v>25</v>
      </c>
      <c r="R94" s="295">
        <v>79431.842999999993</v>
      </c>
      <c r="S94" s="295">
        <v>0</v>
      </c>
      <c r="T94" s="295">
        <v>0</v>
      </c>
      <c r="U94" s="295">
        <v>76782.088000000003</v>
      </c>
      <c r="V94" s="295">
        <v>770175655.898</v>
      </c>
      <c r="W94" s="295">
        <v>83412735</v>
      </c>
      <c r="X94" s="295">
        <v>11.157</v>
      </c>
      <c r="Y94" s="295">
        <v>10.202999999999999</v>
      </c>
      <c r="Z94" s="295">
        <v>78583055.648000002</v>
      </c>
      <c r="AA94" s="295">
        <v>82.822999999999993</v>
      </c>
      <c r="AB94" s="295">
        <v>10.83</v>
      </c>
      <c r="AC94" s="295" t="s">
        <v>346</v>
      </c>
    </row>
    <row r="95" spans="1:30" x14ac:dyDescent="0.2">
      <c r="A95" s="295" t="s">
        <v>247</v>
      </c>
      <c r="B95" s="295">
        <v>800000000</v>
      </c>
      <c r="C95" s="295">
        <v>0</v>
      </c>
      <c r="D95" s="295">
        <v>800000000</v>
      </c>
      <c r="E95" s="295">
        <v>53269.561999999998</v>
      </c>
      <c r="F95" s="295">
        <v>661493099.36099994</v>
      </c>
      <c r="G95" s="295">
        <v>104566529</v>
      </c>
      <c r="H95" s="295">
        <v>11.58</v>
      </c>
      <c r="I95" s="295">
        <v>7.6550000000000002</v>
      </c>
      <c r="J95" s="295">
        <v>50639393.490999997</v>
      </c>
      <c r="K95" s="295">
        <v>82.686999999999998</v>
      </c>
      <c r="L95" s="295">
        <v>15.808</v>
      </c>
      <c r="M95" s="295">
        <v>0</v>
      </c>
      <c r="N95" s="295">
        <v>0</v>
      </c>
      <c r="O95" s="295">
        <v>0</v>
      </c>
      <c r="P95" s="295">
        <v>0</v>
      </c>
      <c r="Q95" s="295">
        <v>0</v>
      </c>
      <c r="R95" s="295">
        <v>0</v>
      </c>
      <c r="S95" s="295">
        <v>0</v>
      </c>
      <c r="T95" s="295">
        <v>0</v>
      </c>
      <c r="U95" s="295">
        <v>53269.561999999998</v>
      </c>
      <c r="V95" s="295">
        <v>661493099.36099994</v>
      </c>
      <c r="W95" s="295">
        <v>104566529</v>
      </c>
      <c r="X95" s="295">
        <v>11.58</v>
      </c>
      <c r="Y95" s="295">
        <v>7.6550000000000002</v>
      </c>
      <c r="Z95" s="295">
        <v>50639393.490999997</v>
      </c>
      <c r="AA95" s="295">
        <v>82.686999999999998</v>
      </c>
      <c r="AB95" s="295">
        <v>15.808</v>
      </c>
      <c r="AC95" s="295" t="s">
        <v>346</v>
      </c>
    </row>
    <row r="96" spans="1:30" x14ac:dyDescent="0.2">
      <c r="A96" s="295" t="s">
        <v>306</v>
      </c>
      <c r="B96" s="295">
        <v>1460000000</v>
      </c>
      <c r="C96" s="295">
        <v>0</v>
      </c>
      <c r="D96" s="295">
        <v>1460000000</v>
      </c>
      <c r="E96" s="295">
        <v>106128.80499999999</v>
      </c>
      <c r="F96" s="295">
        <v>1129302349.5510001</v>
      </c>
      <c r="G96" s="295">
        <v>131011018</v>
      </c>
      <c r="H96" s="295">
        <v>11.294</v>
      </c>
      <c r="I96" s="295">
        <v>20.657</v>
      </c>
      <c r="J96" s="295">
        <v>233283792.20100001</v>
      </c>
      <c r="K96" s="295">
        <v>77.349000000000004</v>
      </c>
      <c r="L96" s="295">
        <v>11.601000000000001</v>
      </c>
      <c r="M96" s="295">
        <v>103</v>
      </c>
      <c r="N96" s="295">
        <v>11595909.092</v>
      </c>
      <c r="O96" s="295">
        <v>11560000</v>
      </c>
      <c r="P96" s="295">
        <v>0</v>
      </c>
      <c r="Q96" s="295">
        <v>24.902999999999999</v>
      </c>
      <c r="R96" s="295">
        <v>2887740.932</v>
      </c>
      <c r="S96" s="295">
        <v>0</v>
      </c>
      <c r="T96" s="295">
        <v>99.69</v>
      </c>
      <c r="U96" s="295">
        <v>106231.80499999999</v>
      </c>
      <c r="V96" s="295">
        <v>1140898258.6429999</v>
      </c>
      <c r="W96" s="295">
        <v>142571018</v>
      </c>
      <c r="X96" s="295">
        <v>11.294</v>
      </c>
      <c r="Y96" s="295">
        <v>20.7</v>
      </c>
      <c r="Z96" s="295">
        <v>236171533.13299999</v>
      </c>
      <c r="AA96" s="295">
        <v>78.144000000000005</v>
      </c>
      <c r="AB96" s="295">
        <v>12.496</v>
      </c>
      <c r="AC96" s="295" t="s">
        <v>344</v>
      </c>
    </row>
    <row r="97" spans="1:30" x14ac:dyDescent="0.2">
      <c r="A97" s="295" t="s">
        <v>248</v>
      </c>
      <c r="B97" s="295">
        <v>420000000</v>
      </c>
      <c r="C97" s="295">
        <v>0</v>
      </c>
      <c r="D97" s="295">
        <v>420000000</v>
      </c>
      <c r="E97" s="295">
        <v>28771.448</v>
      </c>
      <c r="F97" s="295">
        <v>313053449.83499998</v>
      </c>
      <c r="G97" s="295">
        <v>40634226</v>
      </c>
      <c r="H97" s="295">
        <v>11.304</v>
      </c>
      <c r="I97" s="295">
        <v>15.183</v>
      </c>
      <c r="J97" s="295">
        <v>47529661.185000002</v>
      </c>
      <c r="K97" s="295">
        <v>74.537000000000006</v>
      </c>
      <c r="L97" s="295">
        <v>12.98</v>
      </c>
      <c r="M97" s="295">
        <v>58</v>
      </c>
      <c r="N97" s="295">
        <v>607272.72699999996</v>
      </c>
      <c r="O97" s="295">
        <v>0</v>
      </c>
      <c r="P97" s="295">
        <v>0</v>
      </c>
      <c r="Q97" s="295">
        <v>23</v>
      </c>
      <c r="R97" s="295">
        <v>139672.72700000001</v>
      </c>
      <c r="S97" s="295">
        <v>0</v>
      </c>
      <c r="T97" s="295">
        <v>0</v>
      </c>
      <c r="U97" s="295">
        <v>28829.448</v>
      </c>
      <c r="V97" s="295">
        <v>313660722.56199998</v>
      </c>
      <c r="W97" s="295">
        <v>40634226</v>
      </c>
      <c r="X97" s="295">
        <v>11.304</v>
      </c>
      <c r="Y97" s="295">
        <v>15.198</v>
      </c>
      <c r="Z97" s="295">
        <v>47669333.912</v>
      </c>
      <c r="AA97" s="295">
        <v>74.680999999999997</v>
      </c>
      <c r="AB97" s="295">
        <v>12.955</v>
      </c>
      <c r="AC97" s="295" t="s">
        <v>337</v>
      </c>
    </row>
    <row r="98" spans="1:30" x14ac:dyDescent="0.2">
      <c r="A98" s="295" t="s">
        <v>249</v>
      </c>
      <c r="B98" s="295">
        <v>1750000000</v>
      </c>
      <c r="C98" s="295">
        <v>40000000</v>
      </c>
      <c r="D98" s="295">
        <v>1790000000</v>
      </c>
      <c r="E98" s="295">
        <v>133941.022</v>
      </c>
      <c r="F98" s="295">
        <v>1912050090</v>
      </c>
      <c r="G98" s="295">
        <v>146627533</v>
      </c>
      <c r="H98" s="295">
        <v>12.473000000000001</v>
      </c>
      <c r="I98" s="295">
        <v>18.433</v>
      </c>
      <c r="J98" s="295">
        <v>352443211.12</v>
      </c>
      <c r="K98" s="295">
        <v>109.26</v>
      </c>
      <c r="L98" s="295">
        <v>7.6689999999999996</v>
      </c>
      <c r="M98" s="295">
        <v>2940</v>
      </c>
      <c r="N98" s="295">
        <v>75527650</v>
      </c>
      <c r="O98" s="295">
        <v>0</v>
      </c>
      <c r="P98" s="295">
        <v>15.141</v>
      </c>
      <c r="Q98" s="295">
        <v>15.718999999999999</v>
      </c>
      <c r="R98" s="295">
        <v>11872307.5</v>
      </c>
      <c r="S98" s="295">
        <v>188.81899999999999</v>
      </c>
      <c r="T98" s="295">
        <v>0</v>
      </c>
      <c r="U98" s="295">
        <v>136881.022</v>
      </c>
      <c r="V98" s="295">
        <v>1987577740</v>
      </c>
      <c r="W98" s="295">
        <v>146627533</v>
      </c>
      <c r="X98" s="295">
        <v>12.532999999999999</v>
      </c>
      <c r="Y98" s="295">
        <v>18.329999999999998</v>
      </c>
      <c r="Z98" s="295">
        <v>364315518.62</v>
      </c>
      <c r="AA98" s="295">
        <v>111.038</v>
      </c>
      <c r="AB98" s="295">
        <v>7.3769999999999998</v>
      </c>
      <c r="AC98" s="295" t="s">
        <v>344</v>
      </c>
    </row>
    <row r="99" spans="1:30" x14ac:dyDescent="0.2">
      <c r="A99" s="295" t="s">
        <v>203</v>
      </c>
      <c r="B99" s="295">
        <v>28714400000</v>
      </c>
      <c r="C99" s="295">
        <v>485500000</v>
      </c>
      <c r="D99" s="295">
        <v>29199900000</v>
      </c>
      <c r="E99" s="295">
        <v>2167783.807</v>
      </c>
      <c r="F99" s="295">
        <v>25444968477.786999</v>
      </c>
      <c r="G99" s="295">
        <v>2582807180</v>
      </c>
      <c r="H99" s="295">
        <v>12.308999999999999</v>
      </c>
      <c r="I99" s="295">
        <v>16.006</v>
      </c>
      <c r="J99" s="295">
        <v>4072651538.987</v>
      </c>
      <c r="K99" s="295">
        <v>88.614000000000004</v>
      </c>
      <c r="L99" s="295">
        <v>10.151</v>
      </c>
      <c r="M99" s="295">
        <v>11249</v>
      </c>
      <c r="N99" s="295">
        <v>453182181.36799997</v>
      </c>
      <c r="O99" s="295">
        <v>227441440</v>
      </c>
      <c r="P99" s="295">
        <v>22.484999999999999</v>
      </c>
      <c r="Q99" s="295">
        <v>20.603999999999999</v>
      </c>
      <c r="R99" s="295">
        <v>93375853.467999995</v>
      </c>
      <c r="S99" s="295">
        <v>93.343000000000004</v>
      </c>
      <c r="T99" s="295">
        <v>50.188000000000002</v>
      </c>
      <c r="U99" s="295">
        <v>2179032.807</v>
      </c>
      <c r="V99" s="295">
        <v>25898150659.154999</v>
      </c>
      <c r="W99" s="295">
        <v>2810248620</v>
      </c>
      <c r="X99" s="295">
        <v>12.478</v>
      </c>
      <c r="Y99" s="295">
        <v>16.085999999999999</v>
      </c>
      <c r="Z99" s="295">
        <v>4166027392.4549999</v>
      </c>
      <c r="AA99" s="295">
        <v>88.692999999999998</v>
      </c>
      <c r="AB99" s="295">
        <v>10.851000000000001</v>
      </c>
    </row>
    <row r="101" spans="1:30" x14ac:dyDescent="0.2">
      <c r="A101" s="295" t="s">
        <v>250</v>
      </c>
    </row>
    <row r="102" spans="1:30" x14ac:dyDescent="0.2">
      <c r="A102" s="295" t="s">
        <v>251</v>
      </c>
      <c r="B102" s="295">
        <v>1610000000</v>
      </c>
      <c r="C102" s="295">
        <v>10000000</v>
      </c>
      <c r="D102" s="295">
        <v>1620000000</v>
      </c>
      <c r="E102" s="295">
        <v>110251.467</v>
      </c>
      <c r="F102" s="295">
        <v>1445002136.6930001</v>
      </c>
      <c r="G102" s="295">
        <v>123667067</v>
      </c>
      <c r="H102" s="295">
        <v>14.071</v>
      </c>
      <c r="I102" s="295">
        <v>13.696999999999999</v>
      </c>
      <c r="J102" s="295">
        <v>197916290.64300001</v>
      </c>
      <c r="K102" s="295">
        <v>89.751999999999995</v>
      </c>
      <c r="L102" s="295">
        <v>8.5579999999999998</v>
      </c>
      <c r="M102" s="295">
        <v>612</v>
      </c>
      <c r="N102" s="295">
        <v>43446809.090999998</v>
      </c>
      <c r="O102" s="295">
        <v>36213310</v>
      </c>
      <c r="P102" s="295">
        <v>24.789000000000001</v>
      </c>
      <c r="Q102" s="295">
        <v>21.422999999999998</v>
      </c>
      <c r="R102" s="295">
        <v>9307416.8110000007</v>
      </c>
      <c r="S102" s="295">
        <v>434.46800000000002</v>
      </c>
      <c r="T102" s="295">
        <v>83.350999999999999</v>
      </c>
      <c r="U102" s="295">
        <v>110863.467</v>
      </c>
      <c r="V102" s="295">
        <v>1488448945.7839999</v>
      </c>
      <c r="W102" s="295">
        <v>159880377</v>
      </c>
      <c r="X102" s="295">
        <v>14.137</v>
      </c>
      <c r="Y102" s="295">
        <v>13.922000000000001</v>
      </c>
      <c r="Z102" s="295">
        <v>207223707.454</v>
      </c>
      <c r="AA102" s="295">
        <v>91.88</v>
      </c>
      <c r="AB102" s="295">
        <v>10.741</v>
      </c>
      <c r="AC102" s="295" t="s">
        <v>344</v>
      </c>
    </row>
    <row r="103" spans="1:30" x14ac:dyDescent="0.2">
      <c r="A103" s="295" t="s">
        <v>252</v>
      </c>
      <c r="B103" s="295">
        <v>4280000000</v>
      </c>
      <c r="C103" s="295">
        <v>70000000</v>
      </c>
      <c r="D103" s="295">
        <v>4350000000</v>
      </c>
      <c r="E103" s="295">
        <v>246720.00700000001</v>
      </c>
      <c r="F103" s="295">
        <v>3151865589.5469999</v>
      </c>
      <c r="G103" s="295">
        <v>221196055</v>
      </c>
      <c r="H103" s="295">
        <v>14.102</v>
      </c>
      <c r="I103" s="295">
        <v>16.591999999999999</v>
      </c>
      <c r="J103" s="295">
        <v>522958617.73699999</v>
      </c>
      <c r="K103" s="295">
        <v>73.641999999999996</v>
      </c>
      <c r="L103" s="295">
        <v>7.0179999999999998</v>
      </c>
      <c r="M103" s="295">
        <v>560</v>
      </c>
      <c r="N103" s="295">
        <v>46589581.82</v>
      </c>
      <c r="O103" s="295">
        <v>41521460</v>
      </c>
      <c r="P103" s="295">
        <v>25.614000000000001</v>
      </c>
      <c r="Q103" s="295">
        <v>22.062000000000001</v>
      </c>
      <c r="R103" s="295">
        <v>10278661</v>
      </c>
      <c r="S103" s="295">
        <v>66.557000000000002</v>
      </c>
      <c r="T103" s="295">
        <v>89.122</v>
      </c>
      <c r="U103" s="295">
        <v>247280.00700000001</v>
      </c>
      <c r="V103" s="295">
        <v>3198455171.3670001</v>
      </c>
      <c r="W103" s="295">
        <v>262717515</v>
      </c>
      <c r="X103" s="295">
        <v>14.287000000000001</v>
      </c>
      <c r="Y103" s="295">
        <v>16.672000000000001</v>
      </c>
      <c r="Z103" s="295">
        <v>533237278.73699999</v>
      </c>
      <c r="AA103" s="295">
        <v>73.528000000000006</v>
      </c>
      <c r="AB103" s="295">
        <v>8.2140000000000004</v>
      </c>
      <c r="AC103" s="295" t="s">
        <v>344</v>
      </c>
    </row>
    <row r="104" spans="1:30" x14ac:dyDescent="0.2">
      <c r="A104" s="295" t="s">
        <v>253</v>
      </c>
      <c r="B104" s="295">
        <v>2510000000</v>
      </c>
      <c r="C104" s="295">
        <v>10000000</v>
      </c>
      <c r="D104" s="295">
        <v>2520000000</v>
      </c>
      <c r="E104" s="295">
        <v>186592.55499999999</v>
      </c>
      <c r="F104" s="295">
        <v>2108443063.6270001</v>
      </c>
      <c r="G104" s="295">
        <v>265388204</v>
      </c>
      <c r="H104" s="295">
        <v>14.179</v>
      </c>
      <c r="I104" s="295">
        <v>20.951000000000001</v>
      </c>
      <c r="J104" s="295">
        <v>441731042.86699998</v>
      </c>
      <c r="K104" s="295">
        <v>84.001999999999995</v>
      </c>
      <c r="L104" s="295">
        <v>12.587</v>
      </c>
      <c r="M104" s="295">
        <v>234</v>
      </c>
      <c r="N104" s="295">
        <v>35711363.636</v>
      </c>
      <c r="O104" s="295">
        <v>39171500</v>
      </c>
      <c r="P104" s="295">
        <v>16.373999999999999</v>
      </c>
      <c r="Q104" s="295">
        <v>24.901</v>
      </c>
      <c r="R104" s="295">
        <v>8892522.716</v>
      </c>
      <c r="S104" s="295">
        <v>357.11399999999998</v>
      </c>
      <c r="T104" s="295">
        <v>109.68899999999999</v>
      </c>
      <c r="U104" s="295">
        <v>186826.55499999999</v>
      </c>
      <c r="V104" s="295">
        <v>2144154427.263</v>
      </c>
      <c r="W104" s="295">
        <v>304559704</v>
      </c>
      <c r="X104" s="295">
        <v>14.188000000000001</v>
      </c>
      <c r="Y104" s="295">
        <v>21.015999999999998</v>
      </c>
      <c r="Z104" s="295">
        <v>450623565.583</v>
      </c>
      <c r="AA104" s="295">
        <v>85.084999999999994</v>
      </c>
      <c r="AB104" s="295">
        <v>14.204000000000001</v>
      </c>
      <c r="AC104" s="295" t="s">
        <v>344</v>
      </c>
    </row>
    <row r="105" spans="1:30" x14ac:dyDescent="0.2">
      <c r="A105" s="295" t="s">
        <v>307</v>
      </c>
      <c r="B105" s="295">
        <v>1080000000</v>
      </c>
      <c r="C105" s="295">
        <v>20000000</v>
      </c>
      <c r="D105" s="295">
        <v>1100000000</v>
      </c>
      <c r="E105" s="295">
        <v>67513.274000000005</v>
      </c>
      <c r="F105" s="295">
        <v>897062474.10000002</v>
      </c>
      <c r="G105" s="295">
        <v>100218213</v>
      </c>
      <c r="H105" s="295">
        <v>15.907</v>
      </c>
      <c r="I105" s="295">
        <v>15.644</v>
      </c>
      <c r="J105" s="295">
        <v>140337993.97999999</v>
      </c>
      <c r="K105" s="295">
        <v>83.061000000000007</v>
      </c>
      <c r="L105" s="295">
        <v>11.172000000000001</v>
      </c>
      <c r="M105" s="295">
        <v>492</v>
      </c>
      <c r="N105" s="295">
        <v>18760127.274</v>
      </c>
      <c r="O105" s="295">
        <v>8133000</v>
      </c>
      <c r="P105" s="295">
        <v>29.629000000000001</v>
      </c>
      <c r="Q105" s="295">
        <v>21.795000000000002</v>
      </c>
      <c r="R105" s="295">
        <v>4088734.5639999998</v>
      </c>
      <c r="S105" s="295">
        <v>93.801000000000002</v>
      </c>
      <c r="T105" s="295">
        <v>43.353000000000002</v>
      </c>
      <c r="U105" s="295">
        <v>68005.274000000005</v>
      </c>
      <c r="V105" s="295">
        <v>915822601.37399995</v>
      </c>
      <c r="W105" s="295">
        <v>108351213</v>
      </c>
      <c r="X105" s="295">
        <v>16.157</v>
      </c>
      <c r="Y105" s="295">
        <v>15.77</v>
      </c>
      <c r="Z105" s="295">
        <v>144426728.544</v>
      </c>
      <c r="AA105" s="295">
        <v>83.257000000000005</v>
      </c>
      <c r="AB105" s="295">
        <v>11.831</v>
      </c>
      <c r="AC105" s="295" t="s">
        <v>344</v>
      </c>
    </row>
    <row r="106" spans="1:30" x14ac:dyDescent="0.2">
      <c r="A106" s="295" t="s">
        <v>254</v>
      </c>
      <c r="B106" s="295">
        <v>1140000000</v>
      </c>
      <c r="C106" s="295">
        <v>0</v>
      </c>
      <c r="D106" s="295">
        <v>1140000000</v>
      </c>
      <c r="E106" s="295">
        <v>60871.9</v>
      </c>
      <c r="F106" s="295">
        <v>729201297.42299998</v>
      </c>
      <c r="G106" s="295">
        <v>79574778</v>
      </c>
      <c r="H106" s="295">
        <v>14.175000000000001</v>
      </c>
      <c r="I106" s="295">
        <v>17.309000000000001</v>
      </c>
      <c r="J106" s="295">
        <v>126214539.073</v>
      </c>
      <c r="K106" s="295">
        <v>63.965000000000003</v>
      </c>
      <c r="L106" s="295">
        <v>10.913</v>
      </c>
      <c r="M106" s="295">
        <v>8</v>
      </c>
      <c r="N106" s="295">
        <v>227272.72700000001</v>
      </c>
      <c r="O106" s="295">
        <v>0</v>
      </c>
      <c r="P106" s="295">
        <v>0</v>
      </c>
      <c r="Q106" s="295">
        <v>25</v>
      </c>
      <c r="R106" s="295">
        <v>56818.177000000003</v>
      </c>
      <c r="S106" s="295">
        <v>0</v>
      </c>
      <c r="T106" s="295">
        <v>0</v>
      </c>
      <c r="U106" s="295">
        <v>60879.9</v>
      </c>
      <c r="V106" s="295">
        <v>729428570.14999998</v>
      </c>
      <c r="W106" s="295">
        <v>79574778</v>
      </c>
      <c r="X106" s="295">
        <v>14.175000000000001</v>
      </c>
      <c r="Y106" s="295">
        <v>17.311</v>
      </c>
      <c r="Z106" s="295">
        <v>126271357.25</v>
      </c>
      <c r="AA106" s="295">
        <v>63.984999999999999</v>
      </c>
      <c r="AB106" s="295">
        <v>10.909000000000001</v>
      </c>
      <c r="AC106" s="295" t="s">
        <v>344</v>
      </c>
      <c r="AD106" s="295">
        <v>6.5662532316682301</v>
      </c>
    </row>
    <row r="107" spans="1:30" x14ac:dyDescent="0.2">
      <c r="A107" s="295" t="s">
        <v>255</v>
      </c>
      <c r="B107" s="295">
        <v>640000000</v>
      </c>
      <c r="C107" s="295">
        <v>10000000</v>
      </c>
      <c r="D107" s="295">
        <v>650000000</v>
      </c>
      <c r="E107" s="295">
        <v>54088.483999999997</v>
      </c>
      <c r="F107" s="295">
        <v>704073089.25999999</v>
      </c>
      <c r="G107" s="295">
        <v>188585075</v>
      </c>
      <c r="H107" s="295">
        <v>12.708</v>
      </c>
      <c r="I107" s="295">
        <v>30.777000000000001</v>
      </c>
      <c r="J107" s="295">
        <v>216694937.93000001</v>
      </c>
      <c r="K107" s="295">
        <v>110.011</v>
      </c>
      <c r="L107" s="295">
        <v>26.785</v>
      </c>
      <c r="M107" s="295">
        <v>9</v>
      </c>
      <c r="N107" s="295">
        <v>1010287.272</v>
      </c>
      <c r="O107" s="295">
        <v>1134054</v>
      </c>
      <c r="P107" s="295">
        <v>27.951000000000001</v>
      </c>
      <c r="Q107" s="295">
        <v>24.54</v>
      </c>
      <c r="R107" s="295">
        <v>247920.63200000001</v>
      </c>
      <c r="S107" s="295">
        <v>10.103</v>
      </c>
      <c r="T107" s="295">
        <v>112.251</v>
      </c>
      <c r="U107" s="295">
        <v>54097.483999999997</v>
      </c>
      <c r="V107" s="295">
        <v>705083376.53199995</v>
      </c>
      <c r="W107" s="295">
        <v>189719129</v>
      </c>
      <c r="X107" s="295">
        <v>12.942</v>
      </c>
      <c r="Y107" s="295">
        <v>30.768000000000001</v>
      </c>
      <c r="Z107" s="295">
        <v>216942858.56200001</v>
      </c>
      <c r="AA107" s="295">
        <v>108.474</v>
      </c>
      <c r="AB107" s="295">
        <v>26.907</v>
      </c>
      <c r="AC107" s="295" t="s">
        <v>346</v>
      </c>
      <c r="AD107" s="295">
        <v>4.0839637194885201</v>
      </c>
    </row>
    <row r="108" spans="1:30" x14ac:dyDescent="0.2">
      <c r="A108" s="295" t="s">
        <v>256</v>
      </c>
      <c r="B108" s="295">
        <v>1190000000</v>
      </c>
      <c r="C108" s="295">
        <v>0</v>
      </c>
      <c r="D108" s="295">
        <v>1190000000</v>
      </c>
      <c r="E108" s="295">
        <v>63762.120999999999</v>
      </c>
      <c r="F108" s="295">
        <v>841659300.69799995</v>
      </c>
      <c r="G108" s="295">
        <v>79575853</v>
      </c>
      <c r="H108" s="295">
        <v>17.896999999999998</v>
      </c>
      <c r="I108" s="295">
        <v>18.509</v>
      </c>
      <c r="J108" s="295">
        <v>155778779.62799999</v>
      </c>
      <c r="K108" s="295">
        <v>70.727999999999994</v>
      </c>
      <c r="L108" s="295">
        <v>9.4550000000000001</v>
      </c>
      <c r="M108" s="295">
        <v>238</v>
      </c>
      <c r="N108" s="295">
        <v>16234090.909</v>
      </c>
      <c r="O108" s="295">
        <v>16241500</v>
      </c>
      <c r="P108" s="295">
        <v>0</v>
      </c>
      <c r="Q108" s="295">
        <v>24.818999999999999</v>
      </c>
      <c r="R108" s="295">
        <v>4029140.929</v>
      </c>
      <c r="S108" s="295">
        <v>0</v>
      </c>
      <c r="T108" s="295">
        <v>100.04600000000001</v>
      </c>
      <c r="U108" s="295">
        <v>64000.120999999999</v>
      </c>
      <c r="V108" s="295">
        <v>857893391.60699999</v>
      </c>
      <c r="W108" s="295">
        <v>95817353</v>
      </c>
      <c r="X108" s="295">
        <v>17.896999999999998</v>
      </c>
      <c r="Y108" s="295">
        <v>18.628</v>
      </c>
      <c r="Z108" s="295">
        <v>159807920.55700001</v>
      </c>
      <c r="AA108" s="295">
        <v>72.091999999999999</v>
      </c>
      <c r="AB108" s="295">
        <v>11.169</v>
      </c>
      <c r="AC108" s="295" t="s">
        <v>344</v>
      </c>
    </row>
    <row r="109" spans="1:30" x14ac:dyDescent="0.2">
      <c r="A109" s="295" t="s">
        <v>257</v>
      </c>
      <c r="B109" s="295">
        <v>990000000</v>
      </c>
      <c r="C109" s="295">
        <v>0</v>
      </c>
      <c r="D109" s="295">
        <v>990000000</v>
      </c>
      <c r="E109" s="295">
        <v>62913.093000000001</v>
      </c>
      <c r="F109" s="295">
        <v>784452373.16199994</v>
      </c>
      <c r="G109" s="295">
        <v>88432512</v>
      </c>
      <c r="H109" s="295">
        <v>12.92</v>
      </c>
      <c r="I109" s="295">
        <v>10.327999999999999</v>
      </c>
      <c r="J109" s="295">
        <v>81017600.022</v>
      </c>
      <c r="K109" s="295">
        <v>79.238</v>
      </c>
      <c r="L109" s="295">
        <v>11.273</v>
      </c>
      <c r="M109" s="295">
        <v>0</v>
      </c>
      <c r="N109" s="295">
        <v>0</v>
      </c>
      <c r="O109" s="295">
        <v>0</v>
      </c>
      <c r="P109" s="295">
        <v>0</v>
      </c>
      <c r="Q109" s="295">
        <v>0</v>
      </c>
      <c r="R109" s="295">
        <v>0</v>
      </c>
      <c r="S109" s="295">
        <v>0</v>
      </c>
      <c r="T109" s="295">
        <v>0</v>
      </c>
      <c r="U109" s="295">
        <v>62913.093000000001</v>
      </c>
      <c r="V109" s="295">
        <v>784452373.16199994</v>
      </c>
      <c r="W109" s="295">
        <v>88432512</v>
      </c>
      <c r="X109" s="295">
        <v>12.92</v>
      </c>
      <c r="Y109" s="295">
        <v>10.327999999999999</v>
      </c>
      <c r="Z109" s="295">
        <v>81017600.022</v>
      </c>
      <c r="AA109" s="295">
        <v>79.238</v>
      </c>
      <c r="AB109" s="295">
        <v>11.273</v>
      </c>
      <c r="AC109" s="295" t="s">
        <v>344</v>
      </c>
    </row>
    <row r="110" spans="1:30" x14ac:dyDescent="0.2">
      <c r="A110" s="295" t="s">
        <v>258</v>
      </c>
      <c r="B110" s="295">
        <v>800000000</v>
      </c>
      <c r="C110" s="295">
        <v>10000000</v>
      </c>
      <c r="D110" s="295">
        <v>810000000</v>
      </c>
      <c r="E110" s="295">
        <v>38760.230000000003</v>
      </c>
      <c r="F110" s="295">
        <v>448407194.99599999</v>
      </c>
      <c r="G110" s="295">
        <v>66279631</v>
      </c>
      <c r="H110" s="295">
        <v>18.783999999999999</v>
      </c>
      <c r="I110" s="295">
        <v>16.154</v>
      </c>
      <c r="J110" s="295">
        <v>72433679.505999997</v>
      </c>
      <c r="K110" s="295">
        <v>56.051000000000002</v>
      </c>
      <c r="L110" s="295">
        <v>14.781000000000001</v>
      </c>
      <c r="M110" s="295">
        <v>416</v>
      </c>
      <c r="N110" s="295">
        <v>13349636.365</v>
      </c>
      <c r="O110" s="295">
        <v>4656000</v>
      </c>
      <c r="P110" s="295">
        <v>19.303999999999998</v>
      </c>
      <c r="Q110" s="295">
        <v>21.081</v>
      </c>
      <c r="R110" s="295">
        <v>2814295.4550000001</v>
      </c>
      <c r="S110" s="295">
        <v>133.49600000000001</v>
      </c>
      <c r="T110" s="295">
        <v>34.877000000000002</v>
      </c>
      <c r="U110" s="295">
        <v>39176.230000000003</v>
      </c>
      <c r="V110" s="295">
        <v>461756831.361</v>
      </c>
      <c r="W110" s="295">
        <v>70935631</v>
      </c>
      <c r="X110" s="295">
        <v>18.79</v>
      </c>
      <c r="Y110" s="295">
        <v>16.295999999999999</v>
      </c>
      <c r="Z110" s="295">
        <v>75247974.960999995</v>
      </c>
      <c r="AA110" s="295">
        <v>57.006999999999998</v>
      </c>
      <c r="AB110" s="295">
        <v>15.362</v>
      </c>
      <c r="AC110" s="295" t="s">
        <v>338</v>
      </c>
    </row>
    <row r="111" spans="1:30" x14ac:dyDescent="0.2">
      <c r="A111" s="295" t="s">
        <v>259</v>
      </c>
      <c r="B111" s="295">
        <v>738300000</v>
      </c>
      <c r="C111" s="295">
        <v>31600000</v>
      </c>
      <c r="D111" s="295">
        <v>769900000</v>
      </c>
      <c r="E111" s="295">
        <v>56948.413</v>
      </c>
      <c r="F111" s="295">
        <v>611478580.597</v>
      </c>
      <c r="G111" s="295">
        <v>62563213</v>
      </c>
      <c r="H111" s="295">
        <v>12.503</v>
      </c>
      <c r="I111" s="295">
        <v>8.6489999999999991</v>
      </c>
      <c r="J111" s="295">
        <v>52884261.186999999</v>
      </c>
      <c r="K111" s="295">
        <v>82.822999999999993</v>
      </c>
      <c r="L111" s="295">
        <v>10.231</v>
      </c>
      <c r="M111" s="295">
        <v>168</v>
      </c>
      <c r="N111" s="295">
        <v>9002854.5449999999</v>
      </c>
      <c r="O111" s="295">
        <v>5739960</v>
      </c>
      <c r="P111" s="295">
        <v>24.725999999999999</v>
      </c>
      <c r="Q111" s="295">
        <v>22.603000000000002</v>
      </c>
      <c r="R111" s="295">
        <v>2034883.635</v>
      </c>
      <c r="S111" s="295">
        <v>28.49</v>
      </c>
      <c r="T111" s="295">
        <v>63.756999999999998</v>
      </c>
      <c r="U111" s="295">
        <v>57116.413</v>
      </c>
      <c r="V111" s="295">
        <v>620481435.14199996</v>
      </c>
      <c r="W111" s="295">
        <v>68303173</v>
      </c>
      <c r="X111" s="295">
        <v>13.005000000000001</v>
      </c>
      <c r="Y111" s="295">
        <v>8.8510000000000009</v>
      </c>
      <c r="Z111" s="295">
        <v>54919144.821999997</v>
      </c>
      <c r="AA111" s="295">
        <v>80.591999999999999</v>
      </c>
      <c r="AB111" s="295">
        <v>11.007999999999999</v>
      </c>
      <c r="AC111" s="295" t="s">
        <v>346</v>
      </c>
    </row>
    <row r="112" spans="1:30" x14ac:dyDescent="0.2">
      <c r="A112" s="295" t="s">
        <v>260</v>
      </c>
      <c r="B112" s="295">
        <v>880000000</v>
      </c>
      <c r="C112" s="295">
        <v>0</v>
      </c>
      <c r="D112" s="295">
        <v>880000000</v>
      </c>
      <c r="E112" s="295">
        <v>59505.722000000002</v>
      </c>
      <c r="F112" s="295">
        <v>780354564.68900001</v>
      </c>
      <c r="G112" s="295">
        <v>102594961</v>
      </c>
      <c r="H112" s="295">
        <v>15.266</v>
      </c>
      <c r="I112" s="295">
        <v>20.498999999999999</v>
      </c>
      <c r="J112" s="295">
        <v>159964950.419</v>
      </c>
      <c r="K112" s="295">
        <v>88.677000000000007</v>
      </c>
      <c r="L112" s="295">
        <v>13.147</v>
      </c>
      <c r="M112" s="295">
        <v>142</v>
      </c>
      <c r="N112" s="295">
        <v>19130454.545000002</v>
      </c>
      <c r="O112" s="295">
        <v>20783500</v>
      </c>
      <c r="P112" s="295">
        <v>0</v>
      </c>
      <c r="Q112" s="295">
        <v>25</v>
      </c>
      <c r="R112" s="295">
        <v>4782613.6349999998</v>
      </c>
      <c r="S112" s="295">
        <v>0</v>
      </c>
      <c r="T112" s="295">
        <v>108.64100000000001</v>
      </c>
      <c r="U112" s="295">
        <v>59647.722000000002</v>
      </c>
      <c r="V112" s="295">
        <v>799485019.23399997</v>
      </c>
      <c r="W112" s="295">
        <v>123378461</v>
      </c>
      <c r="X112" s="295">
        <v>15.266</v>
      </c>
      <c r="Y112" s="295">
        <v>20.606999999999999</v>
      </c>
      <c r="Z112" s="295">
        <v>164747564.05399999</v>
      </c>
      <c r="AA112" s="295">
        <v>90.850999999999999</v>
      </c>
      <c r="AB112" s="295">
        <v>15.432</v>
      </c>
      <c r="AC112" s="295" t="s">
        <v>344</v>
      </c>
    </row>
    <row r="113" spans="1:30" x14ac:dyDescent="0.2">
      <c r="A113" s="295" t="s">
        <v>261</v>
      </c>
      <c r="B113" s="295">
        <v>680000000</v>
      </c>
      <c r="C113" s="295">
        <v>10000000</v>
      </c>
      <c r="D113" s="295">
        <v>690000000</v>
      </c>
      <c r="E113" s="295">
        <v>73741.178</v>
      </c>
      <c r="F113" s="295">
        <v>715809499.63800001</v>
      </c>
      <c r="G113" s="295">
        <v>47768434</v>
      </c>
      <c r="H113" s="295">
        <v>13.842000000000001</v>
      </c>
      <c r="I113" s="295">
        <v>11.045999999999999</v>
      </c>
      <c r="J113" s="295">
        <v>79069474.068000004</v>
      </c>
      <c r="K113" s="295">
        <v>105.26600000000001</v>
      </c>
      <c r="L113" s="295">
        <v>6.673</v>
      </c>
      <c r="M113" s="295">
        <v>170</v>
      </c>
      <c r="N113" s="295">
        <v>8487272.727</v>
      </c>
      <c r="O113" s="295">
        <v>7939000</v>
      </c>
      <c r="P113" s="295">
        <v>25.344000000000001</v>
      </c>
      <c r="Q113" s="295">
        <v>24.701000000000001</v>
      </c>
      <c r="R113" s="295">
        <v>2096418.2069999999</v>
      </c>
      <c r="S113" s="295">
        <v>84.873000000000005</v>
      </c>
      <c r="T113" s="295">
        <v>93.54</v>
      </c>
      <c r="U113" s="295">
        <v>73911.178</v>
      </c>
      <c r="V113" s="295">
        <v>724296772.36500001</v>
      </c>
      <c r="W113" s="295">
        <v>55707434</v>
      </c>
      <c r="X113" s="295">
        <v>14.009</v>
      </c>
      <c r="Y113" s="295">
        <v>11.206</v>
      </c>
      <c r="Z113" s="295">
        <v>81165892.275000006</v>
      </c>
      <c r="AA113" s="295">
        <v>104.971</v>
      </c>
      <c r="AB113" s="295">
        <v>7.6909999999999998</v>
      </c>
      <c r="AC113" s="295" t="s">
        <v>346</v>
      </c>
    </row>
    <row r="114" spans="1:30" x14ac:dyDescent="0.2">
      <c r="A114" s="295" t="s">
        <v>262</v>
      </c>
      <c r="B114" s="295">
        <v>630000000</v>
      </c>
      <c r="C114" s="295">
        <v>0</v>
      </c>
      <c r="D114" s="295">
        <v>630000000</v>
      </c>
      <c r="E114" s="295">
        <v>47116.258000000002</v>
      </c>
      <c r="F114" s="295">
        <v>577334192.43700004</v>
      </c>
      <c r="G114" s="295">
        <v>70832724</v>
      </c>
      <c r="H114" s="295">
        <v>12.208</v>
      </c>
      <c r="I114" s="295">
        <v>14.121</v>
      </c>
      <c r="J114" s="295">
        <v>81527574.677000001</v>
      </c>
      <c r="K114" s="295">
        <v>91.64</v>
      </c>
      <c r="L114" s="295">
        <v>12.269</v>
      </c>
      <c r="P114" s="295">
        <v>0</v>
      </c>
      <c r="Q114" s="295">
        <v>0</v>
      </c>
      <c r="R114" s="295">
        <v>0</v>
      </c>
      <c r="S114" s="295">
        <v>0</v>
      </c>
      <c r="T114" s="295">
        <v>0</v>
      </c>
      <c r="U114" s="295">
        <v>47116.258000000002</v>
      </c>
      <c r="V114" s="295">
        <v>577334192.43700004</v>
      </c>
      <c r="W114" s="295">
        <v>70832724</v>
      </c>
      <c r="X114" s="295">
        <v>12.208</v>
      </c>
      <c r="Y114" s="295">
        <v>14.121</v>
      </c>
      <c r="Z114" s="295">
        <v>81527574.677000001</v>
      </c>
      <c r="AA114" s="295">
        <v>91.64</v>
      </c>
      <c r="AB114" s="295">
        <v>12.269</v>
      </c>
      <c r="AC114" s="295" t="s">
        <v>344</v>
      </c>
    </row>
    <row r="115" spans="1:30" x14ac:dyDescent="0.2">
      <c r="A115" s="295" t="s">
        <v>336</v>
      </c>
      <c r="B115" s="295">
        <v>910000000</v>
      </c>
      <c r="C115" s="295">
        <v>10000000</v>
      </c>
      <c r="D115" s="295">
        <v>920000000</v>
      </c>
      <c r="E115" s="295">
        <v>50349.985000000001</v>
      </c>
      <c r="F115" s="295">
        <v>622806573.71800005</v>
      </c>
      <c r="G115" s="295">
        <v>46102524</v>
      </c>
      <c r="H115" s="295">
        <v>14.865</v>
      </c>
      <c r="I115" s="295">
        <v>16.417000000000002</v>
      </c>
      <c r="J115" s="295">
        <v>102245594.748</v>
      </c>
      <c r="K115" s="295">
        <v>68.44</v>
      </c>
      <c r="L115" s="295">
        <v>7.4020000000000001</v>
      </c>
      <c r="M115" s="295">
        <v>2</v>
      </c>
      <c r="N115" s="295">
        <v>95454.544999999998</v>
      </c>
      <c r="O115" s="295">
        <v>0</v>
      </c>
      <c r="P115" s="295">
        <v>27.552</v>
      </c>
      <c r="Q115" s="295">
        <v>5.141</v>
      </c>
      <c r="R115" s="295">
        <v>4907.2749999999996</v>
      </c>
      <c r="S115" s="295">
        <v>0.95499999999999996</v>
      </c>
      <c r="T115" s="295">
        <v>0</v>
      </c>
      <c r="U115" s="295">
        <v>50351.985000000001</v>
      </c>
      <c r="V115" s="295">
        <v>622902028.26300001</v>
      </c>
      <c r="W115" s="295">
        <v>46102524</v>
      </c>
      <c r="X115" s="295">
        <v>15.003</v>
      </c>
      <c r="Y115" s="295">
        <v>16.414999999999999</v>
      </c>
      <c r="Z115" s="295">
        <v>102250502.023</v>
      </c>
      <c r="AA115" s="295">
        <v>67.706999999999994</v>
      </c>
      <c r="AB115" s="295">
        <v>7.4009999999999998</v>
      </c>
      <c r="AC115" s="295" t="s">
        <v>346</v>
      </c>
    </row>
    <row r="116" spans="1:30" x14ac:dyDescent="0.2">
      <c r="A116" s="295" t="s">
        <v>308</v>
      </c>
      <c r="B116" s="295">
        <v>1490000000</v>
      </c>
      <c r="C116" s="295">
        <v>70000000</v>
      </c>
      <c r="D116" s="295">
        <v>1560000000</v>
      </c>
      <c r="E116" s="295">
        <v>86751.573000000004</v>
      </c>
      <c r="F116" s="295">
        <v>1110909447.9089999</v>
      </c>
      <c r="G116" s="295">
        <v>106668480</v>
      </c>
      <c r="H116" s="295">
        <v>15.089</v>
      </c>
      <c r="I116" s="295">
        <v>16.367000000000001</v>
      </c>
      <c r="J116" s="295">
        <v>181820901.06900001</v>
      </c>
      <c r="K116" s="295">
        <v>74.558000000000007</v>
      </c>
      <c r="L116" s="295">
        <v>9.6020000000000003</v>
      </c>
      <c r="M116" s="295">
        <v>873</v>
      </c>
      <c r="N116" s="295">
        <v>37355981.818000004</v>
      </c>
      <c r="O116" s="295">
        <v>20888520</v>
      </c>
      <c r="P116" s="295">
        <v>25.481000000000002</v>
      </c>
      <c r="Q116" s="295">
        <v>21.777999999999999</v>
      </c>
      <c r="R116" s="295">
        <v>8135389.7580000004</v>
      </c>
      <c r="S116" s="295">
        <v>53.366</v>
      </c>
      <c r="T116" s="295">
        <v>55.917000000000002</v>
      </c>
      <c r="U116" s="295">
        <v>87624.573000000004</v>
      </c>
      <c r="V116" s="295">
        <v>1148265429.727</v>
      </c>
      <c r="W116" s="295">
        <v>127557000</v>
      </c>
      <c r="X116" s="295">
        <v>15.555</v>
      </c>
      <c r="Y116" s="295">
        <v>16.542999999999999</v>
      </c>
      <c r="Z116" s="295">
        <v>189956290.82699999</v>
      </c>
      <c r="AA116" s="295">
        <v>73.606999999999999</v>
      </c>
      <c r="AB116" s="295">
        <v>11.109</v>
      </c>
      <c r="AC116" s="295" t="s">
        <v>341</v>
      </c>
    </row>
    <row r="117" spans="1:30" x14ac:dyDescent="0.2">
      <c r="A117" s="295" t="s">
        <v>263</v>
      </c>
      <c r="B117" s="295">
        <v>940000000</v>
      </c>
      <c r="C117" s="295">
        <v>0</v>
      </c>
      <c r="D117" s="295">
        <v>940000000</v>
      </c>
      <c r="E117" s="295">
        <v>60306.769</v>
      </c>
      <c r="F117" s="295">
        <v>844906874.61800003</v>
      </c>
      <c r="G117" s="295">
        <v>131996718</v>
      </c>
      <c r="H117" s="295">
        <v>13.612</v>
      </c>
      <c r="I117" s="295">
        <v>15.026</v>
      </c>
      <c r="J117" s="295">
        <v>126952642.278</v>
      </c>
      <c r="K117" s="295">
        <v>89.884</v>
      </c>
      <c r="L117" s="295">
        <v>15.622999999999999</v>
      </c>
      <c r="P117" s="295">
        <v>0</v>
      </c>
      <c r="Q117" s="295">
        <v>0</v>
      </c>
      <c r="R117" s="295">
        <v>0</v>
      </c>
      <c r="S117" s="295">
        <v>0</v>
      </c>
      <c r="T117" s="295">
        <v>0</v>
      </c>
      <c r="U117" s="295">
        <v>60306.769</v>
      </c>
      <c r="V117" s="295">
        <v>844906874.61800003</v>
      </c>
      <c r="W117" s="295">
        <v>131996718</v>
      </c>
      <c r="X117" s="295">
        <v>13.612</v>
      </c>
      <c r="Y117" s="295">
        <v>15.026</v>
      </c>
      <c r="Z117" s="295">
        <v>126952642.278</v>
      </c>
      <c r="AA117" s="295">
        <v>89.884</v>
      </c>
      <c r="AB117" s="295">
        <v>15.622999999999999</v>
      </c>
      <c r="AC117" s="295" t="s">
        <v>344</v>
      </c>
    </row>
    <row r="118" spans="1:30" x14ac:dyDescent="0.2">
      <c r="A118" s="295" t="s">
        <v>264</v>
      </c>
      <c r="B118" s="295">
        <v>2100000000</v>
      </c>
      <c r="C118" s="295">
        <v>30000000</v>
      </c>
      <c r="D118" s="295">
        <v>2130000000</v>
      </c>
      <c r="E118" s="295">
        <v>94112.816000000006</v>
      </c>
      <c r="F118" s="295">
        <v>1437371254.76</v>
      </c>
      <c r="G118" s="295">
        <v>154211403</v>
      </c>
      <c r="H118" s="295">
        <v>14.382999999999999</v>
      </c>
      <c r="I118" s="295">
        <v>12.444000000000001</v>
      </c>
      <c r="J118" s="295">
        <v>178872512.91999999</v>
      </c>
      <c r="K118" s="295">
        <v>68.445999999999998</v>
      </c>
      <c r="L118" s="295">
        <v>10.728999999999999</v>
      </c>
      <c r="M118" s="295">
        <v>495</v>
      </c>
      <c r="N118" s="295">
        <v>17973272.727000002</v>
      </c>
      <c r="O118" s="295">
        <v>11683000</v>
      </c>
      <c r="P118" s="295">
        <v>23.962</v>
      </c>
      <c r="Q118" s="295">
        <v>23.027000000000001</v>
      </c>
      <c r="R118" s="295">
        <v>4138699.977</v>
      </c>
      <c r="S118" s="295">
        <v>59.911000000000001</v>
      </c>
      <c r="T118" s="295">
        <v>65.001999999999995</v>
      </c>
      <c r="U118" s="295">
        <v>94607.816000000006</v>
      </c>
      <c r="V118" s="295">
        <v>1455344527.487</v>
      </c>
      <c r="W118" s="295">
        <v>165894403</v>
      </c>
      <c r="X118" s="295">
        <v>14.518000000000001</v>
      </c>
      <c r="Y118" s="295">
        <v>12.574999999999999</v>
      </c>
      <c r="Z118" s="295">
        <v>183011212.89700001</v>
      </c>
      <c r="AA118" s="295">
        <v>68.325999999999993</v>
      </c>
      <c r="AB118" s="295">
        <v>11.398999999999999</v>
      </c>
      <c r="AC118" s="295" t="s">
        <v>344</v>
      </c>
    </row>
    <row r="119" spans="1:30" x14ac:dyDescent="0.2">
      <c r="A119" s="295" t="s">
        <v>265</v>
      </c>
      <c r="B119" s="295">
        <v>860000000</v>
      </c>
      <c r="C119" s="295">
        <v>0</v>
      </c>
      <c r="D119" s="295">
        <v>860000000</v>
      </c>
      <c r="E119" s="295">
        <v>53733.817000000003</v>
      </c>
      <c r="F119" s="295">
        <v>683999321.01100004</v>
      </c>
      <c r="G119" s="295">
        <v>78499857</v>
      </c>
      <c r="H119" s="295">
        <v>12.685</v>
      </c>
      <c r="I119" s="295">
        <v>13.401999999999999</v>
      </c>
      <c r="J119" s="295">
        <v>91668709.040999994</v>
      </c>
      <c r="K119" s="295">
        <v>79.534999999999997</v>
      </c>
      <c r="L119" s="295">
        <v>11.477</v>
      </c>
      <c r="M119" s="295">
        <v>2</v>
      </c>
      <c r="N119" s="295">
        <v>119545.454</v>
      </c>
      <c r="O119" s="295">
        <v>0</v>
      </c>
      <c r="P119" s="295">
        <v>0</v>
      </c>
      <c r="Q119" s="295">
        <v>6.0839999999999996</v>
      </c>
      <c r="R119" s="295">
        <v>7272.7240000000002</v>
      </c>
      <c r="S119" s="295">
        <v>0</v>
      </c>
      <c r="T119" s="295">
        <v>0</v>
      </c>
      <c r="U119" s="295">
        <v>53735.817000000003</v>
      </c>
      <c r="V119" s="295">
        <v>684118866.46500003</v>
      </c>
      <c r="W119" s="295">
        <v>78499857</v>
      </c>
      <c r="X119" s="295">
        <v>12.685</v>
      </c>
      <c r="Y119" s="295">
        <v>13.401</v>
      </c>
      <c r="Z119" s="295">
        <v>91675981.765000001</v>
      </c>
      <c r="AA119" s="295">
        <v>79.549000000000007</v>
      </c>
      <c r="AB119" s="295">
        <v>11.475</v>
      </c>
      <c r="AC119" s="295" t="s">
        <v>346</v>
      </c>
    </row>
    <row r="120" spans="1:30" x14ac:dyDescent="0.2">
      <c r="A120" s="295" t="s">
        <v>266</v>
      </c>
      <c r="B120" s="295">
        <v>530000000</v>
      </c>
      <c r="C120" s="295">
        <v>0</v>
      </c>
      <c r="D120" s="295">
        <v>530000000</v>
      </c>
      <c r="E120" s="295">
        <v>25446.924999999999</v>
      </c>
      <c r="F120" s="295">
        <v>372577706.08899999</v>
      </c>
      <c r="G120" s="295">
        <v>42534165</v>
      </c>
      <c r="H120" s="295">
        <v>11.768000000000001</v>
      </c>
      <c r="I120" s="295">
        <v>10.621</v>
      </c>
      <c r="J120" s="295">
        <v>39571707.129000001</v>
      </c>
      <c r="K120" s="295">
        <v>70.298000000000002</v>
      </c>
      <c r="L120" s="295">
        <v>11.416</v>
      </c>
      <c r="M120" s="295">
        <v>2</v>
      </c>
      <c r="N120" s="295">
        <v>143181.818</v>
      </c>
      <c r="O120" s="295">
        <v>0</v>
      </c>
      <c r="P120" s="295">
        <v>0</v>
      </c>
      <c r="Q120" s="295">
        <v>5.9669999999999996</v>
      </c>
      <c r="R120" s="295">
        <v>8543.6280000000006</v>
      </c>
      <c r="S120" s="295">
        <v>0</v>
      </c>
      <c r="T120" s="295">
        <v>0</v>
      </c>
      <c r="U120" s="295">
        <v>25448.924999999999</v>
      </c>
      <c r="V120" s="295">
        <v>372720887.90700001</v>
      </c>
      <c r="W120" s="295">
        <v>42534165</v>
      </c>
      <c r="X120" s="295">
        <v>11.768000000000001</v>
      </c>
      <c r="Y120" s="295">
        <v>10.619</v>
      </c>
      <c r="Z120" s="295">
        <v>39580250.756999999</v>
      </c>
      <c r="AA120" s="295">
        <v>70.325000000000003</v>
      </c>
      <c r="AB120" s="295">
        <v>11.412000000000001</v>
      </c>
      <c r="AC120" s="295" t="s">
        <v>340</v>
      </c>
    </row>
    <row r="121" spans="1:30" x14ac:dyDescent="0.2">
      <c r="A121" s="295" t="s">
        <v>267</v>
      </c>
      <c r="B121" s="295">
        <v>460000000</v>
      </c>
      <c r="C121" s="295">
        <v>0</v>
      </c>
      <c r="D121" s="295">
        <v>460000000</v>
      </c>
      <c r="E121" s="295">
        <v>30368.521000000001</v>
      </c>
      <c r="F121" s="295">
        <v>388838820.07300001</v>
      </c>
      <c r="G121" s="295">
        <v>33817240</v>
      </c>
      <c r="H121" s="295">
        <v>14.015000000000001</v>
      </c>
      <c r="I121" s="295">
        <v>14.102</v>
      </c>
      <c r="J121" s="295">
        <v>54833504.642999999</v>
      </c>
      <c r="K121" s="295">
        <v>84.53</v>
      </c>
      <c r="L121" s="295">
        <v>8.6969999999999992</v>
      </c>
      <c r="M121" s="295">
        <v>0</v>
      </c>
      <c r="N121" s="295">
        <v>0</v>
      </c>
      <c r="O121" s="295">
        <v>0</v>
      </c>
      <c r="P121" s="295">
        <v>0</v>
      </c>
      <c r="Q121" s="295">
        <v>0</v>
      </c>
      <c r="R121" s="295">
        <v>0</v>
      </c>
      <c r="S121" s="295">
        <v>0</v>
      </c>
      <c r="T121" s="295">
        <v>0</v>
      </c>
      <c r="U121" s="295">
        <v>30368.521000000001</v>
      </c>
      <c r="V121" s="295">
        <v>388838820.07300001</v>
      </c>
      <c r="W121" s="295">
        <v>33817240</v>
      </c>
      <c r="X121" s="295">
        <v>14.015000000000001</v>
      </c>
      <c r="Y121" s="295">
        <v>14.102</v>
      </c>
      <c r="Z121" s="295">
        <v>54833504.642999999</v>
      </c>
      <c r="AA121" s="295">
        <v>84.53</v>
      </c>
      <c r="AB121" s="295">
        <v>8.6969999999999992</v>
      </c>
      <c r="AC121" s="295" t="s">
        <v>346</v>
      </c>
      <c r="AD121" s="295">
        <v>3.1829233015075298</v>
      </c>
    </row>
    <row r="122" spans="1:30" x14ac:dyDescent="0.2">
      <c r="A122" s="295" t="s">
        <v>268</v>
      </c>
      <c r="B122" s="295">
        <v>590000000</v>
      </c>
      <c r="C122" s="295">
        <v>0</v>
      </c>
      <c r="D122" s="295">
        <v>590000000</v>
      </c>
      <c r="E122" s="295">
        <v>28460.258000000002</v>
      </c>
      <c r="F122" s="295">
        <v>380766049.78100002</v>
      </c>
      <c r="G122" s="295">
        <v>39814410</v>
      </c>
      <c r="H122" s="295">
        <v>15.489000000000001</v>
      </c>
      <c r="I122" s="295">
        <v>-79.427999999999997</v>
      </c>
      <c r="J122" s="295">
        <v>-302433149.28899997</v>
      </c>
      <c r="K122" s="295">
        <v>64.537000000000006</v>
      </c>
      <c r="L122" s="295">
        <v>10.456</v>
      </c>
      <c r="M122" s="295">
        <v>12</v>
      </c>
      <c r="N122" s="295">
        <v>125454.545</v>
      </c>
      <c r="O122" s="295">
        <v>0</v>
      </c>
      <c r="P122" s="295">
        <v>0</v>
      </c>
      <c r="Q122" s="295">
        <v>23</v>
      </c>
      <c r="R122" s="295">
        <v>28854.544999999998</v>
      </c>
      <c r="S122" s="295">
        <v>0</v>
      </c>
      <c r="T122" s="295">
        <v>0</v>
      </c>
      <c r="U122" s="295">
        <v>28472.258000000002</v>
      </c>
      <c r="V122" s="295">
        <v>380891504.32599998</v>
      </c>
      <c r="W122" s="295">
        <v>39814410</v>
      </c>
      <c r="X122" s="295">
        <v>15.489000000000001</v>
      </c>
      <c r="Y122" s="295">
        <v>-79.394000000000005</v>
      </c>
      <c r="Z122" s="295">
        <v>-302404294.74400002</v>
      </c>
      <c r="AA122" s="295">
        <v>64.558000000000007</v>
      </c>
      <c r="AB122" s="295">
        <v>10.452999999999999</v>
      </c>
      <c r="AC122" s="295" t="s">
        <v>340</v>
      </c>
      <c r="AD122" s="295">
        <v>5.5984405833975499</v>
      </c>
    </row>
    <row r="123" spans="1:30" x14ac:dyDescent="0.2">
      <c r="A123" s="295" t="s">
        <v>269</v>
      </c>
      <c r="B123" s="295">
        <v>980000000</v>
      </c>
      <c r="C123" s="295">
        <v>50000000</v>
      </c>
      <c r="D123" s="295">
        <v>1030000000</v>
      </c>
      <c r="E123" s="295">
        <v>85299.123999999996</v>
      </c>
      <c r="F123" s="295">
        <v>841885341.977</v>
      </c>
      <c r="G123" s="295">
        <v>160827394</v>
      </c>
      <c r="H123" s="295">
        <v>11.231999999999999</v>
      </c>
      <c r="I123" s="295">
        <v>-15.205</v>
      </c>
      <c r="J123" s="295">
        <v>-128009171.293</v>
      </c>
      <c r="K123" s="295">
        <v>85.906999999999996</v>
      </c>
      <c r="L123" s="295">
        <v>19.103000000000002</v>
      </c>
      <c r="M123" s="295">
        <v>885</v>
      </c>
      <c r="N123" s="295">
        <v>31326705.453000002</v>
      </c>
      <c r="O123" s="295">
        <v>13845834</v>
      </c>
      <c r="P123" s="295">
        <v>24.591999999999999</v>
      </c>
      <c r="Q123" s="295">
        <v>21.33</v>
      </c>
      <c r="R123" s="295">
        <v>6681877.1830000002</v>
      </c>
      <c r="S123" s="295">
        <v>62.652999999999999</v>
      </c>
      <c r="T123" s="295">
        <v>44.198</v>
      </c>
      <c r="U123" s="295">
        <v>86184.123999999996</v>
      </c>
      <c r="V123" s="295">
        <v>873212047.42999995</v>
      </c>
      <c r="W123" s="295">
        <v>174673228</v>
      </c>
      <c r="X123" s="295">
        <v>11.88</v>
      </c>
      <c r="Y123" s="295">
        <v>-13.894</v>
      </c>
      <c r="Z123" s="295">
        <v>-121327294.11</v>
      </c>
      <c r="AA123" s="295">
        <v>84.778000000000006</v>
      </c>
      <c r="AB123" s="295">
        <v>20.004000000000001</v>
      </c>
      <c r="AC123" s="295" t="s">
        <v>344</v>
      </c>
    </row>
    <row r="124" spans="1:30" x14ac:dyDescent="0.2">
      <c r="A124" s="295" t="s">
        <v>270</v>
      </c>
      <c r="B124" s="295">
        <v>1880000000</v>
      </c>
      <c r="C124" s="295">
        <v>20000000</v>
      </c>
      <c r="D124" s="295">
        <v>1900000000</v>
      </c>
      <c r="E124" s="295">
        <v>120334.70600000001</v>
      </c>
      <c r="F124" s="295">
        <v>1574515723.2019999</v>
      </c>
      <c r="G124" s="295">
        <v>195134128</v>
      </c>
      <c r="H124" s="295">
        <v>22.861000000000001</v>
      </c>
      <c r="I124" s="295">
        <v>24.323</v>
      </c>
      <c r="J124" s="295">
        <v>382975903.542</v>
      </c>
      <c r="K124" s="295">
        <v>83.751000000000005</v>
      </c>
      <c r="L124" s="295">
        <v>12.393000000000001</v>
      </c>
      <c r="M124" s="295">
        <v>241</v>
      </c>
      <c r="N124" s="295">
        <v>32623181.818999998</v>
      </c>
      <c r="O124" s="295">
        <v>34706000</v>
      </c>
      <c r="P124" s="295">
        <v>17.916</v>
      </c>
      <c r="Q124" s="295">
        <v>24.355</v>
      </c>
      <c r="R124" s="295">
        <v>7945261.8090000004</v>
      </c>
      <c r="S124" s="295">
        <v>163.11600000000001</v>
      </c>
      <c r="T124" s="295">
        <v>106.384</v>
      </c>
      <c r="U124" s="295">
        <v>120575.70600000001</v>
      </c>
      <c r="V124" s="295">
        <v>1607138905.0209999</v>
      </c>
      <c r="W124" s="295">
        <v>229840128</v>
      </c>
      <c r="X124" s="295">
        <v>22.809000000000001</v>
      </c>
      <c r="Y124" s="295">
        <v>24.324000000000002</v>
      </c>
      <c r="Z124" s="295">
        <v>390921165.35100001</v>
      </c>
      <c r="AA124" s="295">
        <v>84.585999999999999</v>
      </c>
      <c r="AB124" s="295">
        <v>14.301</v>
      </c>
      <c r="AC124" s="295" t="s">
        <v>344</v>
      </c>
    </row>
    <row r="125" spans="1:30" x14ac:dyDescent="0.2">
      <c r="A125" s="295" t="s">
        <v>203</v>
      </c>
      <c r="B125" s="295">
        <v>27908300000</v>
      </c>
      <c r="C125" s="295">
        <v>351600000</v>
      </c>
      <c r="D125" s="295">
        <v>28259900000</v>
      </c>
      <c r="E125" s="295">
        <v>1763949.196</v>
      </c>
      <c r="F125" s="295">
        <v>22053720470.005001</v>
      </c>
      <c r="G125" s="295">
        <v>2486283039</v>
      </c>
      <c r="H125" s="295">
        <v>14.859</v>
      </c>
      <c r="I125" s="295">
        <v>13.862</v>
      </c>
      <c r="J125" s="295">
        <v>3057028896.5250001</v>
      </c>
      <c r="K125" s="295">
        <v>79.022000000000006</v>
      </c>
      <c r="L125" s="295">
        <v>11.273999999999999</v>
      </c>
      <c r="M125" s="295">
        <v>5561</v>
      </c>
      <c r="N125" s="295">
        <v>331712529.08999997</v>
      </c>
      <c r="O125" s="295">
        <v>262656638</v>
      </c>
      <c r="P125" s="295">
        <v>24.66</v>
      </c>
      <c r="Q125" s="295">
        <v>22.785</v>
      </c>
      <c r="R125" s="295">
        <v>75580232.659999996</v>
      </c>
      <c r="S125" s="295">
        <v>94.343999999999994</v>
      </c>
      <c r="T125" s="295">
        <v>79.182000000000002</v>
      </c>
      <c r="U125" s="295">
        <v>1769510.196</v>
      </c>
      <c r="V125" s="295">
        <v>22385432999.095001</v>
      </c>
      <c r="W125" s="295">
        <v>2748939677</v>
      </c>
      <c r="X125" s="295">
        <v>14.981</v>
      </c>
      <c r="Y125" s="295">
        <v>13.994</v>
      </c>
      <c r="Z125" s="295">
        <v>3132609129.1849999</v>
      </c>
      <c r="AA125" s="295">
        <v>79.212999999999994</v>
      </c>
      <c r="AB125" s="295">
        <v>12.28</v>
      </c>
      <c r="AD125" s="295">
        <v>5.9919865429605501</v>
      </c>
    </row>
    <row r="127" spans="1:30" x14ac:dyDescent="0.2">
      <c r="A127" s="295" t="s">
        <v>204</v>
      </c>
      <c r="B127" s="295">
        <v>115947700000</v>
      </c>
      <c r="C127" s="295">
        <v>2262200000</v>
      </c>
      <c r="D127" s="295">
        <v>118209900000</v>
      </c>
      <c r="E127" s="295">
        <v>9983745.4789999891</v>
      </c>
      <c r="F127" s="295">
        <v>96580410111.781906</v>
      </c>
      <c r="G127" s="295">
        <v>9361989263</v>
      </c>
      <c r="H127" s="295">
        <v>12.266999999999999</v>
      </c>
      <c r="I127" s="295">
        <v>13.333</v>
      </c>
      <c r="J127" s="295">
        <v>12876900275.902</v>
      </c>
      <c r="K127" s="295">
        <v>83.296999999999997</v>
      </c>
      <c r="L127" s="295">
        <v>9.6929999999999996</v>
      </c>
      <c r="M127" s="295">
        <v>58249</v>
      </c>
      <c r="N127" s="295">
        <v>1814369604.266</v>
      </c>
      <c r="O127" s="295">
        <v>942274223</v>
      </c>
      <c r="P127" s="295">
        <v>24.385000000000002</v>
      </c>
      <c r="Q127" s="295">
        <v>22.286000000000001</v>
      </c>
      <c r="R127" s="295">
        <v>404358945.90600002</v>
      </c>
      <c r="S127" s="295">
        <v>80.203999999999994</v>
      </c>
      <c r="T127" s="295">
        <v>51.933999999999997</v>
      </c>
      <c r="U127" s="295">
        <v>10041994.479</v>
      </c>
      <c r="V127" s="295">
        <v>98394779716.047897</v>
      </c>
      <c r="W127" s="295">
        <v>10304263486</v>
      </c>
      <c r="X127" s="295">
        <v>12.499000000000001</v>
      </c>
      <c r="Y127" s="295">
        <v>13.497999999999999</v>
      </c>
      <c r="Z127" s="295">
        <v>13281259221.808001</v>
      </c>
      <c r="AA127" s="295">
        <v>83.236999999999995</v>
      </c>
      <c r="AB127" s="295">
        <v>10.472</v>
      </c>
    </row>
    <row r="128" spans="1:30" x14ac:dyDescent="0.2">
      <c r="A128" s="295" t="s">
        <v>205</v>
      </c>
      <c r="B128" s="295">
        <v>115947700000</v>
      </c>
      <c r="C128" s="295">
        <v>2262200000</v>
      </c>
      <c r="D128" s="295">
        <v>118209900000</v>
      </c>
      <c r="E128" s="295">
        <v>9983745.4790000003</v>
      </c>
      <c r="F128" s="295">
        <v>96580410111.781998</v>
      </c>
      <c r="G128" s="295">
        <v>9361989263</v>
      </c>
      <c r="H128" s="295">
        <v>12.266999489252401</v>
      </c>
      <c r="I128" s="295">
        <v>13.3328283251213</v>
      </c>
      <c r="J128" s="295">
        <v>12876900275.901899</v>
      </c>
      <c r="K128" s="295">
        <v>83.296529479913701</v>
      </c>
      <c r="L128" s="295">
        <v>9.6934660477880001</v>
      </c>
      <c r="M128" s="295">
        <v>58249</v>
      </c>
      <c r="N128" s="295">
        <v>1814369604.266</v>
      </c>
      <c r="O128" s="295">
        <v>942274223</v>
      </c>
      <c r="P128" s="295">
        <v>24.3850667208911</v>
      </c>
      <c r="Q128" s="295">
        <v>22.286470460884001</v>
      </c>
      <c r="R128" s="295">
        <v>404358945.90600002</v>
      </c>
      <c r="S128" s="295">
        <v>80.203766433825393</v>
      </c>
      <c r="T128" s="295">
        <v>51.933973143316301</v>
      </c>
      <c r="U128" s="295">
        <v>10041994.479</v>
      </c>
      <c r="V128" s="295">
        <v>98394779716.048004</v>
      </c>
      <c r="W128" s="295">
        <v>10304263486</v>
      </c>
      <c r="X128" s="295">
        <v>12.4989046993187</v>
      </c>
      <c r="Y128" s="295">
        <v>13.497930744024799</v>
      </c>
      <c r="Z128" s="295">
        <v>13281259221.808001</v>
      </c>
      <c r="AA128" s="295">
        <v>83.237342824964699</v>
      </c>
      <c r="AB128" s="295">
        <v>10.4723680623469</v>
      </c>
    </row>
    <row r="144" spans="1:3" x14ac:dyDescent="0.2">
      <c r="A144" s="295" t="s">
        <v>342</v>
      </c>
      <c r="C144" s="295" t="s">
        <v>347</v>
      </c>
    </row>
    <row r="145" spans="1:35" x14ac:dyDescent="0.2">
      <c r="A145" s="295" t="s">
        <v>285</v>
      </c>
    </row>
    <row r="147" spans="1:35" x14ac:dyDescent="0.2">
      <c r="A147" s="295" t="s">
        <v>335</v>
      </c>
    </row>
    <row r="149" spans="1:35" x14ac:dyDescent="0.2">
      <c r="A149" s="295" t="s">
        <v>277</v>
      </c>
      <c r="B149" s="295" t="s">
        <v>161</v>
      </c>
      <c r="C149" s="295" t="b">
        <v>1</v>
      </c>
      <c r="D149" s="295" t="s">
        <v>163</v>
      </c>
      <c r="E149" s="295" t="s">
        <v>0</v>
      </c>
      <c r="F149" s="295" t="s">
        <v>161</v>
      </c>
      <c r="G149" s="295" t="s">
        <v>162</v>
      </c>
      <c r="H149" s="295" t="s">
        <v>163</v>
      </c>
    </row>
    <row r="150" spans="1:35" x14ac:dyDescent="0.2">
      <c r="A150" s="295" t="s">
        <v>278</v>
      </c>
      <c r="B150" s="295" t="s">
        <v>161</v>
      </c>
      <c r="C150" s="295" t="s">
        <v>279</v>
      </c>
      <c r="D150" s="295" t="s">
        <v>163</v>
      </c>
      <c r="E150" s="295" t="s">
        <v>280</v>
      </c>
      <c r="F150" s="295" t="s">
        <v>161</v>
      </c>
      <c r="G150" s="295" t="s">
        <v>0</v>
      </c>
      <c r="H150" s="295" t="s">
        <v>163</v>
      </c>
    </row>
    <row r="151" spans="1:35" x14ac:dyDescent="0.2">
      <c r="A151" s="295" t="s">
        <v>285</v>
      </c>
    </row>
    <row r="152" spans="1:35" x14ac:dyDescent="0.2">
      <c r="A152" s="295" t="s">
        <v>0</v>
      </c>
      <c r="B152" s="295" t="s">
        <v>281</v>
      </c>
      <c r="C152" s="295" t="s">
        <v>282</v>
      </c>
      <c r="D152" s="295" t="s">
        <v>283</v>
      </c>
      <c r="E152" s="295">
        <v>1</v>
      </c>
      <c r="F152" s="295">
        <v>2</v>
      </c>
      <c r="G152" s="295">
        <v>3</v>
      </c>
      <c r="H152" s="295">
        <v>4</v>
      </c>
      <c r="I152" s="295">
        <v>5</v>
      </c>
      <c r="J152" s="295">
        <v>6</v>
      </c>
      <c r="K152" s="295">
        <v>7</v>
      </c>
      <c r="L152" s="295">
        <v>8</v>
      </c>
      <c r="M152" s="295">
        <v>9</v>
      </c>
      <c r="N152" s="295">
        <v>10</v>
      </c>
      <c r="O152" s="295">
        <v>11</v>
      </c>
      <c r="P152" s="295">
        <v>12</v>
      </c>
      <c r="Q152" s="295">
        <v>13</v>
      </c>
      <c r="R152" s="295">
        <v>14</v>
      </c>
      <c r="S152" s="295">
        <v>15</v>
      </c>
      <c r="T152" s="295">
        <v>16</v>
      </c>
      <c r="U152" s="295">
        <v>17</v>
      </c>
      <c r="V152" s="295">
        <v>18</v>
      </c>
      <c r="W152" s="295">
        <v>19</v>
      </c>
      <c r="X152" s="295">
        <v>20</v>
      </c>
      <c r="Y152" s="295">
        <v>21</v>
      </c>
      <c r="Z152" s="295">
        <v>22</v>
      </c>
      <c r="AA152" s="295">
        <v>23</v>
      </c>
      <c r="AB152" s="295">
        <v>24</v>
      </c>
      <c r="AC152" s="295">
        <v>25</v>
      </c>
      <c r="AD152" s="295">
        <v>26</v>
      </c>
      <c r="AE152" s="295">
        <v>27</v>
      </c>
      <c r="AF152" s="295">
        <v>28</v>
      </c>
      <c r="AG152" s="295">
        <v>29</v>
      </c>
      <c r="AH152" s="295">
        <v>30</v>
      </c>
      <c r="AI152" s="295">
        <v>31</v>
      </c>
    </row>
    <row r="154" spans="1:35" x14ac:dyDescent="0.2">
      <c r="A154" s="295" t="s">
        <v>284</v>
      </c>
    </row>
    <row r="155" spans="1:35" x14ac:dyDescent="0.2">
      <c r="A155" s="295" t="s">
        <v>194</v>
      </c>
      <c r="B155" s="295">
        <v>4036600000</v>
      </c>
      <c r="C155" s="295">
        <v>60.58</v>
      </c>
      <c r="D155" s="295">
        <v>24.073612412759001</v>
      </c>
      <c r="E155" s="295">
        <v>6.5070847227864999</v>
      </c>
      <c r="F155" s="295">
        <v>2.51191643412773</v>
      </c>
      <c r="G155" s="295">
        <v>2.2642300200663898</v>
      </c>
      <c r="H155" s="295">
        <v>2.2521332148342599</v>
      </c>
      <c r="I155" s="295">
        <v>2.4447038829708099</v>
      </c>
      <c r="J155" s="295">
        <v>2.6523732012089298</v>
      </c>
      <c r="K155" s="295">
        <v>4.9084210283406797</v>
      </c>
      <c r="L155" s="295">
        <v>5.7829357474111802</v>
      </c>
      <c r="M155" s="295">
        <v>2.23347132041817</v>
      </c>
      <c r="N155" s="295">
        <v>2.14293431947678</v>
      </c>
      <c r="O155" s="295">
        <v>1.61631700639151</v>
      </c>
      <c r="P155" s="295">
        <v>1.53432467646038</v>
      </c>
      <c r="Q155" s="295">
        <v>1.9481529995540801</v>
      </c>
      <c r="R155" s="295">
        <v>3.6887821589951901</v>
      </c>
      <c r="S155" s="295">
        <v>4.1775751957092604</v>
      </c>
      <c r="T155" s="295">
        <v>1.3129485428330701</v>
      </c>
      <c r="U155" s="295">
        <v>1.3750518446217099</v>
      </c>
      <c r="V155" s="295">
        <v>1.20571309939057</v>
      </c>
      <c r="W155" s="295">
        <v>1.1169484068275199</v>
      </c>
      <c r="X155" s="295">
        <v>1.0567503579745301</v>
      </c>
      <c r="Y155" s="295">
        <v>1.62399895035425</v>
      </c>
      <c r="Z155" s="295">
        <v>1.45834238368924</v>
      </c>
      <c r="AA155" s="295">
        <v>0.68209591388792501</v>
      </c>
      <c r="AB155" s="295">
        <v>0.60241571495813295</v>
      </c>
      <c r="AC155" s="295">
        <v>0.58360368453649103</v>
      </c>
      <c r="AD155" s="295">
        <v>0.39761651340236798</v>
      </c>
      <c r="AE155" s="295">
        <v>0.57354085121141496</v>
      </c>
      <c r="AF155" s="295">
        <v>0.67596755635931205</v>
      </c>
      <c r="AG155" s="295">
        <v>0.753727654461675</v>
      </c>
      <c r="AH155" s="295">
        <v>0.49904336570381003</v>
      </c>
    </row>
    <row r="156" spans="1:35" x14ac:dyDescent="0.2">
      <c r="A156" s="295" t="s">
        <v>195</v>
      </c>
      <c r="B156" s="295">
        <v>1846400000</v>
      </c>
      <c r="C156" s="295">
        <v>56.01</v>
      </c>
      <c r="D156" s="295">
        <v>28.088912891931201</v>
      </c>
      <c r="E156" s="295">
        <v>5.4302285972703599</v>
      </c>
      <c r="F156" s="295">
        <v>2.10415252437175</v>
      </c>
      <c r="G156" s="295">
        <v>2.0159608860485201</v>
      </c>
      <c r="H156" s="295">
        <v>1.996035799935</v>
      </c>
      <c r="I156" s="295">
        <v>2.2434769085788502</v>
      </c>
      <c r="J156" s="295">
        <v>2.7509765863301499</v>
      </c>
      <c r="K156" s="295">
        <v>4.3319353823656801</v>
      </c>
      <c r="L156" s="295">
        <v>5.4581881114601298</v>
      </c>
      <c r="M156" s="295">
        <v>1.9902693484618701</v>
      </c>
      <c r="N156" s="295">
        <v>1.8791763057842199</v>
      </c>
      <c r="O156" s="295">
        <v>1.61547472432842</v>
      </c>
      <c r="P156" s="295">
        <v>1.5864416047443599</v>
      </c>
      <c r="Q156" s="295">
        <v>1.9388383042677599</v>
      </c>
      <c r="R156" s="295">
        <v>3.16036332105719</v>
      </c>
      <c r="S156" s="295">
        <v>3.72644726224003</v>
      </c>
      <c r="T156" s="295">
        <v>1.2639167628899399</v>
      </c>
      <c r="U156" s="295">
        <v>1.34965344779029</v>
      </c>
      <c r="V156" s="295">
        <v>1.3514929776863001</v>
      </c>
      <c r="W156" s="295">
        <v>1.04423531520797</v>
      </c>
      <c r="X156" s="295">
        <v>0.93796202827122999</v>
      </c>
      <c r="Y156" s="295">
        <v>1.57224106802426</v>
      </c>
      <c r="Z156" s="295">
        <v>1.41299944486568</v>
      </c>
      <c r="AA156" s="295">
        <v>0.71282675584921995</v>
      </c>
      <c r="AB156" s="295">
        <v>0.71507623970970502</v>
      </c>
      <c r="AC156" s="295">
        <v>0.594497302318024</v>
      </c>
      <c r="AD156" s="295">
        <v>0.46930582647313601</v>
      </c>
      <c r="AE156" s="295">
        <v>0.57326509748700105</v>
      </c>
      <c r="AF156" s="295">
        <v>0.676294020797227</v>
      </c>
      <c r="AG156" s="295">
        <v>0.69238584434575301</v>
      </c>
      <c r="AH156" s="295">
        <v>0.41330070028162902</v>
      </c>
    </row>
    <row r="157" spans="1:35" x14ac:dyDescent="0.2">
      <c r="A157" s="295" t="s">
        <v>196</v>
      </c>
      <c r="B157" s="295">
        <v>4395300000</v>
      </c>
      <c r="C157" s="295">
        <v>78.16</v>
      </c>
      <c r="D157" s="295">
        <v>25.642459220882301</v>
      </c>
      <c r="E157" s="295">
        <v>7.4105899133164899</v>
      </c>
      <c r="F157" s="295">
        <v>3.34211532318613</v>
      </c>
      <c r="G157" s="295">
        <v>3.1975247655450101</v>
      </c>
      <c r="H157" s="295">
        <v>3.1269512561144799</v>
      </c>
      <c r="I157" s="295">
        <v>3.2395288373944799</v>
      </c>
      <c r="J157" s="295">
        <v>3.5063041981207101</v>
      </c>
      <c r="K157" s="295">
        <v>5.44277050531249</v>
      </c>
      <c r="L157" s="295">
        <v>6.4156869879189102</v>
      </c>
      <c r="M157" s="295">
        <v>2.4683553436625401</v>
      </c>
      <c r="N157" s="295">
        <v>2.5575051957773001</v>
      </c>
      <c r="O157" s="295">
        <v>2.4971770213637199</v>
      </c>
      <c r="P157" s="295">
        <v>2.1962659504470601</v>
      </c>
      <c r="Q157" s="295">
        <v>2.8362160475962899</v>
      </c>
      <c r="R157" s="295">
        <v>4.0066288785748396</v>
      </c>
      <c r="S157" s="295">
        <v>4.1658273990398804</v>
      </c>
      <c r="T157" s="295">
        <v>1.8495941257707</v>
      </c>
      <c r="U157" s="295">
        <v>2.0678183778126602</v>
      </c>
      <c r="V157" s="295">
        <v>1.7341934395831899</v>
      </c>
      <c r="W157" s="295">
        <v>1.4587982542716</v>
      </c>
      <c r="X157" s="295">
        <v>1.5634882356153099</v>
      </c>
      <c r="Y157" s="295">
        <v>2.3190568188746998</v>
      </c>
      <c r="Z157" s="295">
        <v>2.2566585539098498</v>
      </c>
      <c r="AA157" s="295">
        <v>0.99851658134825805</v>
      </c>
      <c r="AB157" s="295">
        <v>1.05811956225968</v>
      </c>
      <c r="AC157" s="295">
        <v>1.17474995199417</v>
      </c>
      <c r="AD157" s="295">
        <v>0.824450129001433</v>
      </c>
      <c r="AE157" s="295">
        <v>1.0758402109070999</v>
      </c>
      <c r="AF157" s="295">
        <v>1.3453777555570701</v>
      </c>
      <c r="AG157" s="295">
        <v>1.24307958683138</v>
      </c>
      <c r="AH157" s="295">
        <v>0.78324296111755698</v>
      </c>
    </row>
    <row r="158" spans="1:35" x14ac:dyDescent="0.2">
      <c r="A158" s="295" t="s">
        <v>197</v>
      </c>
      <c r="B158" s="295">
        <v>4213600000</v>
      </c>
      <c r="C158" s="295">
        <v>70.33</v>
      </c>
      <c r="D158" s="295">
        <v>27.572955205481801</v>
      </c>
      <c r="E158" s="295">
        <v>6.2047448535693901</v>
      </c>
      <c r="F158" s="295">
        <v>2.6471042882570699</v>
      </c>
      <c r="G158" s="295">
        <v>2.5176992419783502</v>
      </c>
      <c r="H158" s="295">
        <v>2.7856970680653101</v>
      </c>
      <c r="I158" s="295">
        <v>2.8959632862635201</v>
      </c>
      <c r="J158" s="295">
        <v>3.21260755482247</v>
      </c>
      <c r="K158" s="295">
        <v>4.8024756405449001</v>
      </c>
      <c r="L158" s="295">
        <v>5.5404160981108701</v>
      </c>
      <c r="M158" s="295">
        <v>2.2403992699829098</v>
      </c>
      <c r="N158" s="295">
        <v>2.2723700935067401</v>
      </c>
      <c r="O158" s="295">
        <v>1.79802369968672</v>
      </c>
      <c r="P158" s="295">
        <v>1.7525337884469301</v>
      </c>
      <c r="Q158" s="295">
        <v>2.4392404753654802</v>
      </c>
      <c r="R158" s="295">
        <v>3.5292896879153202</v>
      </c>
      <c r="S158" s="295">
        <v>4.0280317488608297</v>
      </c>
      <c r="T158" s="295">
        <v>1.70337446696411</v>
      </c>
      <c r="U158" s="295">
        <v>1.7704338378108899</v>
      </c>
      <c r="V158" s="295">
        <v>1.64482639144674</v>
      </c>
      <c r="W158" s="295">
        <v>1.3452803291722</v>
      </c>
      <c r="X158" s="295">
        <v>1.49901293881716</v>
      </c>
      <c r="Y158" s="295">
        <v>2.3432446048509501</v>
      </c>
      <c r="Z158" s="295">
        <v>2.1851953472090302</v>
      </c>
      <c r="AA158" s="295">
        <v>1.0190406210841001</v>
      </c>
      <c r="AB158" s="295">
        <v>1.0376590103474399</v>
      </c>
      <c r="AC158" s="295">
        <v>1.3565385708183</v>
      </c>
      <c r="AD158" s="295">
        <v>1.06909897996962</v>
      </c>
      <c r="AE158" s="295">
        <v>0.97696981298651897</v>
      </c>
      <c r="AF158" s="295">
        <v>1.49602823144104</v>
      </c>
      <c r="AG158" s="295">
        <v>1.5080919835769799</v>
      </c>
      <c r="AH158" s="295">
        <v>0.70589099060186</v>
      </c>
    </row>
    <row r="159" spans="1:35" x14ac:dyDescent="0.2">
      <c r="A159" s="295" t="s">
        <v>198</v>
      </c>
      <c r="B159" s="295">
        <v>4481600000</v>
      </c>
      <c r="C159" s="295">
        <v>68.48</v>
      </c>
      <c r="D159" s="295">
        <v>24.1470757052465</v>
      </c>
      <c r="E159" s="295">
        <v>6.0697989548375499</v>
      </c>
      <c r="F159" s="295">
        <v>3.1527391224116301</v>
      </c>
      <c r="G159" s="295">
        <v>2.7143052586129901</v>
      </c>
      <c r="H159" s="295">
        <v>2.85651441784184</v>
      </c>
      <c r="I159" s="295">
        <v>2.5553735895662202</v>
      </c>
      <c r="J159" s="295">
        <v>2.8153617815066001</v>
      </c>
      <c r="K159" s="295">
        <v>4.1056345990271303</v>
      </c>
      <c r="L159" s="295">
        <v>4.8180408465726501</v>
      </c>
      <c r="M159" s="295">
        <v>2.1353084117279502</v>
      </c>
      <c r="N159" s="295">
        <v>2.37193057122456</v>
      </c>
      <c r="O159" s="295">
        <v>1.6721626436986701</v>
      </c>
      <c r="P159" s="295">
        <v>1.77807561094252</v>
      </c>
      <c r="Q159" s="295">
        <v>2.1306705658693299</v>
      </c>
      <c r="R159" s="295">
        <v>3.21843242056408</v>
      </c>
      <c r="S159" s="295">
        <v>4.0254710766244104</v>
      </c>
      <c r="T159" s="295">
        <v>1.7539068852641899</v>
      </c>
      <c r="U159" s="295">
        <v>1.86407715793466</v>
      </c>
      <c r="V159" s="295">
        <v>1.60097423353266</v>
      </c>
      <c r="W159" s="295">
        <v>1.6513979397982801</v>
      </c>
      <c r="X159" s="295">
        <v>1.4269101341038899</v>
      </c>
      <c r="Y159" s="295">
        <v>2.0634630292752498</v>
      </c>
      <c r="Z159" s="295">
        <v>2.0846229888878902</v>
      </c>
      <c r="AA159" s="295">
        <v>1.242067465191</v>
      </c>
      <c r="AB159" s="295">
        <v>1.14632142471438</v>
      </c>
      <c r="AC159" s="295">
        <v>1.33745162084969</v>
      </c>
      <c r="AD159" s="295">
        <v>1.03667472844519</v>
      </c>
      <c r="AE159" s="295">
        <v>1.0493559523384499</v>
      </c>
      <c r="AF159" s="295">
        <v>1.4489125220903201</v>
      </c>
      <c r="AG159" s="295">
        <v>1.47643181096037</v>
      </c>
      <c r="AH159" s="295">
        <v>0.87492707649053902</v>
      </c>
    </row>
    <row r="160" spans="1:35" x14ac:dyDescent="0.2">
      <c r="A160" s="295" t="s">
        <v>199</v>
      </c>
      <c r="B160" s="295">
        <v>30567900000</v>
      </c>
      <c r="C160" s="295">
        <v>81.599999999999994</v>
      </c>
      <c r="D160" s="295">
        <v>16.514492399860401</v>
      </c>
      <c r="E160" s="295">
        <v>9.2830684540318398</v>
      </c>
      <c r="F160" s="295">
        <v>3.2165256080725202</v>
      </c>
      <c r="G160" s="295">
        <v>2.7758805591486402</v>
      </c>
      <c r="H160" s="295">
        <v>2.77311171771695</v>
      </c>
      <c r="I160" s="295">
        <v>2.71041016857553</v>
      </c>
      <c r="J160" s="295">
        <v>3.5501053618011</v>
      </c>
      <c r="K160" s="295">
        <v>5.5506534363498901</v>
      </c>
      <c r="L160" s="295">
        <v>6.4060510922896201</v>
      </c>
      <c r="M160" s="295">
        <v>2.0681515490432698</v>
      </c>
      <c r="N160" s="295">
        <v>1.7153850764691001</v>
      </c>
      <c r="O160" s="295">
        <v>1.5454385266570401</v>
      </c>
      <c r="P160" s="295">
        <v>1.4408829952662701</v>
      </c>
      <c r="Q160" s="295">
        <v>1.7237092916425401</v>
      </c>
      <c r="R160" s="295">
        <v>3.2379960897869902</v>
      </c>
      <c r="S160" s="295">
        <v>4.0909874105515902</v>
      </c>
      <c r="T160" s="295">
        <v>2.298194479503</v>
      </c>
      <c r="U160" s="295">
        <v>1.65239338139028</v>
      </c>
      <c r="V160" s="295">
        <v>1.59356056595317</v>
      </c>
      <c r="W160" s="295">
        <v>1.72478176809659</v>
      </c>
      <c r="X160" s="295">
        <v>1.52235370156275</v>
      </c>
      <c r="Y160" s="295">
        <v>2.8419853296759001</v>
      </c>
      <c r="Z160" s="295">
        <v>2.74583107311918</v>
      </c>
      <c r="AA160" s="295">
        <v>1.28821145155538</v>
      </c>
      <c r="AB160" s="295">
        <v>1.69441643642513</v>
      </c>
      <c r="AC160" s="295">
        <v>2.1210244455458098</v>
      </c>
      <c r="AD160" s="295">
        <v>1.4563041411415201</v>
      </c>
      <c r="AE160" s="295">
        <v>1.7614557974869001</v>
      </c>
      <c r="AF160" s="295">
        <v>2.8313797942612999</v>
      </c>
      <c r="AG160" s="295">
        <v>2.80796994157269</v>
      </c>
      <c r="AH160" s="295">
        <v>1.1750057030741301</v>
      </c>
    </row>
    <row r="161" spans="1:35" x14ac:dyDescent="0.2">
      <c r="A161" s="295" t="s">
        <v>200</v>
      </c>
      <c r="B161" s="295">
        <v>35105200000</v>
      </c>
      <c r="C161" s="295">
        <v>93.59</v>
      </c>
      <c r="D161" s="295">
        <v>12.877704539485901</v>
      </c>
      <c r="E161" s="295">
        <v>9.4631684543885193</v>
      </c>
      <c r="F161" s="295">
        <v>2.27342646109408</v>
      </c>
      <c r="G161" s="295">
        <v>2.1451952774517702</v>
      </c>
      <c r="H161" s="295">
        <v>1.9005418481877301</v>
      </c>
      <c r="I161" s="295">
        <v>2.0110547832229901</v>
      </c>
      <c r="J161" s="295">
        <v>3.4317621901598598</v>
      </c>
      <c r="K161" s="295">
        <v>5.4528882663252096</v>
      </c>
      <c r="L161" s="295">
        <v>7.6039300885908601</v>
      </c>
      <c r="M161" s="295">
        <v>3.03597100794184</v>
      </c>
      <c r="N161" s="295">
        <v>3.9505036469525798</v>
      </c>
      <c r="O161" s="295">
        <v>3.6850981786743802</v>
      </c>
      <c r="P161" s="295">
        <v>3.3837536109465201</v>
      </c>
      <c r="Q161" s="295">
        <v>1.8505522341134599</v>
      </c>
      <c r="R161" s="295">
        <v>4.88170287065733</v>
      </c>
      <c r="S161" s="295">
        <v>7.3888556292515002</v>
      </c>
      <c r="T161" s="295">
        <v>1.4965081025887901</v>
      </c>
      <c r="U161" s="295">
        <v>1.85799451867529</v>
      </c>
      <c r="V161" s="295">
        <v>1.5095070446258601</v>
      </c>
      <c r="W161" s="295">
        <v>1.7630958295067301</v>
      </c>
      <c r="X161" s="295">
        <v>2.0813437626619402</v>
      </c>
      <c r="Y161" s="295">
        <v>3.2798004246094501</v>
      </c>
      <c r="Z161" s="295">
        <v>3.81431093832252</v>
      </c>
      <c r="AA161" s="295">
        <v>1.55592783892414</v>
      </c>
      <c r="AB161" s="295">
        <v>1.36943293019267</v>
      </c>
      <c r="AC161" s="295">
        <v>1.43458708493328</v>
      </c>
      <c r="AD161" s="295">
        <v>1.11170842470631</v>
      </c>
      <c r="AE161" s="295">
        <v>2.0444338716771302</v>
      </c>
      <c r="AF161" s="295">
        <v>3.2450454595615401</v>
      </c>
      <c r="AG161" s="295">
        <v>3.0062180178719902</v>
      </c>
      <c r="AH161" s="295">
        <v>1.56455988705376</v>
      </c>
    </row>
    <row r="162" spans="1:35" x14ac:dyDescent="0.2">
      <c r="A162" s="295" t="s">
        <v>201</v>
      </c>
      <c r="B162" s="295">
        <v>16053100000</v>
      </c>
      <c r="C162" s="295">
        <v>92.64</v>
      </c>
      <c r="D162" s="295">
        <v>10.095125418636901</v>
      </c>
      <c r="E162" s="295">
        <v>6.3766623851467896</v>
      </c>
      <c r="F162" s="295">
        <v>2.5707190220580398</v>
      </c>
      <c r="G162" s="295">
        <v>2.4815682936006098</v>
      </c>
      <c r="H162" s="295">
        <v>2.0705424040839402</v>
      </c>
      <c r="I162" s="295">
        <v>3.7088782220879399</v>
      </c>
      <c r="J162" s="295">
        <v>4.1306406164541398</v>
      </c>
      <c r="K162" s="295">
        <v>5.6036961780590602</v>
      </c>
      <c r="L162" s="295">
        <v>6.1433363809482202</v>
      </c>
      <c r="M162" s="295">
        <v>2.8261331121714801</v>
      </c>
      <c r="N162" s="295">
        <v>2.9889016416143899</v>
      </c>
      <c r="O162" s="295">
        <v>3.21832256243342</v>
      </c>
      <c r="P162" s="295">
        <v>3.1606213859005399</v>
      </c>
      <c r="Q162" s="295">
        <v>2.3375827660701001</v>
      </c>
      <c r="R162" s="295">
        <v>4.5285318512312198</v>
      </c>
      <c r="S162" s="295">
        <v>4.9571168582392104</v>
      </c>
      <c r="T162" s="295">
        <v>2.3468037545396201</v>
      </c>
      <c r="U162" s="295">
        <v>1.81289205717275</v>
      </c>
      <c r="V162" s="295">
        <v>1.68445756096953</v>
      </c>
      <c r="W162" s="295">
        <v>1.49164078396073</v>
      </c>
      <c r="X162" s="295">
        <v>1.58072404059029</v>
      </c>
      <c r="Y162" s="295">
        <v>2.8944485979654999</v>
      </c>
      <c r="Z162" s="295">
        <v>2.6602317430278202</v>
      </c>
      <c r="AA162" s="295">
        <v>1.4435433208539099</v>
      </c>
      <c r="AB162" s="295">
        <v>1.4025859146831401</v>
      </c>
      <c r="AC162" s="295">
        <v>1.53368298098186</v>
      </c>
      <c r="AD162" s="295">
        <v>3.9747579924126799</v>
      </c>
      <c r="AE162" s="295">
        <v>2.0298110552478899</v>
      </c>
      <c r="AF162" s="295">
        <v>2.84728719935713</v>
      </c>
      <c r="AG162" s="295">
        <v>2.9393151669770901</v>
      </c>
      <c r="AH162" s="295">
        <v>4.8988147656215899</v>
      </c>
    </row>
    <row r="163" spans="1:35" x14ac:dyDescent="0.2">
      <c r="A163" s="295" t="s">
        <v>202</v>
      </c>
      <c r="B163" s="295">
        <v>17510200000</v>
      </c>
      <c r="C163" s="295">
        <v>67.819999999999993</v>
      </c>
      <c r="D163" s="295">
        <v>0.51080245732802299</v>
      </c>
      <c r="E163" s="295">
        <v>4.6943551418601697</v>
      </c>
      <c r="F163" s="295">
        <v>2.3169701483706602</v>
      </c>
      <c r="G163" s="295">
        <v>1.9864411749723001</v>
      </c>
      <c r="H163" s="295">
        <v>1.8114957011341899</v>
      </c>
      <c r="I163" s="295">
        <v>2.0101684844833199</v>
      </c>
      <c r="J163" s="295">
        <v>2.40565877071649</v>
      </c>
      <c r="K163" s="295">
        <v>3.9441848105675499</v>
      </c>
      <c r="L163" s="295">
        <v>4.7019535200054801</v>
      </c>
      <c r="M163" s="295">
        <v>1.9582187980719801</v>
      </c>
      <c r="N163" s="295">
        <v>1.9172543671117399</v>
      </c>
      <c r="O163" s="295">
        <v>1.9186474709597801</v>
      </c>
      <c r="P163" s="295">
        <v>1.9740795108565199</v>
      </c>
      <c r="Q163" s="295">
        <v>2.1343979760368201</v>
      </c>
      <c r="R163" s="295">
        <v>3.1975140473552499</v>
      </c>
      <c r="S163" s="295">
        <v>4.0689998020582197</v>
      </c>
      <c r="T163" s="295">
        <v>1.7206544213658299</v>
      </c>
      <c r="U163" s="295">
        <v>1.7570464924444</v>
      </c>
      <c r="V163" s="295">
        <v>1.7494261619513101</v>
      </c>
      <c r="W163" s="295">
        <v>1.55442881189249</v>
      </c>
      <c r="X163" s="295">
        <v>1.75442581649552</v>
      </c>
      <c r="Y163" s="295">
        <v>2.7947413333942501</v>
      </c>
      <c r="Z163" s="295">
        <v>2.7306252625326901</v>
      </c>
      <c r="AA163" s="295">
        <v>1.5072629609027799</v>
      </c>
      <c r="AB163" s="295">
        <v>1.51471217547486</v>
      </c>
      <c r="AC163" s="295">
        <v>1.5154184542723601</v>
      </c>
      <c r="AD163" s="295">
        <v>1.2296487809390999</v>
      </c>
      <c r="AE163" s="295">
        <v>1.5502005040490601</v>
      </c>
      <c r="AF163" s="295">
        <v>1.9888526572512</v>
      </c>
      <c r="AG163" s="295">
        <v>1.9327397221048299</v>
      </c>
      <c r="AH163" s="295">
        <v>1.47680487041838</v>
      </c>
    </row>
    <row r="164" spans="1:35" x14ac:dyDescent="0.2">
      <c r="A164" s="295" t="s">
        <v>203</v>
      </c>
      <c r="B164" s="295">
        <v>118209900000</v>
      </c>
      <c r="C164" s="295">
        <v>82.475999999999999</v>
      </c>
      <c r="D164" s="295">
        <v>13.497999999999999</v>
      </c>
      <c r="E164" s="295">
        <v>7.806</v>
      </c>
      <c r="F164" s="295">
        <v>2.6560000000000001</v>
      </c>
      <c r="G164" s="295">
        <v>2.4060000000000001</v>
      </c>
      <c r="H164" s="295">
        <v>2.2629999999999999</v>
      </c>
      <c r="I164" s="295">
        <v>2.5390000000000001</v>
      </c>
      <c r="J164" s="295">
        <v>3.34</v>
      </c>
      <c r="K164" s="295">
        <v>5.1639999999999997</v>
      </c>
      <c r="L164" s="295">
        <v>6.3470000000000004</v>
      </c>
      <c r="M164" s="295">
        <v>2.4700000000000002</v>
      </c>
      <c r="N164" s="295">
        <v>2.6749999999999998</v>
      </c>
      <c r="O164" s="295">
        <v>2.516</v>
      </c>
      <c r="P164" s="295">
        <v>2.3879999999999999</v>
      </c>
      <c r="Q164" s="295">
        <v>1.9990000000000001</v>
      </c>
      <c r="R164" s="295">
        <v>3.948</v>
      </c>
      <c r="S164" s="295">
        <v>5.18</v>
      </c>
      <c r="T164" s="295">
        <v>1.873</v>
      </c>
      <c r="U164" s="295">
        <v>1.764</v>
      </c>
      <c r="V164" s="295">
        <v>1.5940000000000001</v>
      </c>
      <c r="W164" s="295">
        <v>1.6220000000000001</v>
      </c>
      <c r="X164" s="295">
        <v>1.7030000000000001</v>
      </c>
      <c r="Y164" s="295">
        <v>2.8439999999999999</v>
      </c>
      <c r="Z164" s="295">
        <v>2.9209999999999998</v>
      </c>
      <c r="AA164" s="295">
        <v>1.369</v>
      </c>
      <c r="AB164" s="295">
        <v>1.411</v>
      </c>
      <c r="AC164" s="295">
        <v>1.579</v>
      </c>
      <c r="AD164" s="295">
        <v>1.5580000000000001</v>
      </c>
      <c r="AE164" s="295">
        <v>1.7110000000000001</v>
      </c>
      <c r="AF164" s="295">
        <v>2.569</v>
      </c>
      <c r="AG164" s="295">
        <v>2.4969999999999999</v>
      </c>
      <c r="AH164" s="295">
        <v>1.7629999999999999</v>
      </c>
      <c r="AI164" s="295">
        <v>0</v>
      </c>
    </row>
    <row r="166" spans="1:35" x14ac:dyDescent="0.2">
      <c r="A166" s="295" t="s">
        <v>10</v>
      </c>
      <c r="B166" s="295">
        <v>118209900000</v>
      </c>
      <c r="C166" s="295">
        <v>82.475999999999999</v>
      </c>
      <c r="D166" s="295">
        <v>13.497999999999999</v>
      </c>
      <c r="E166" s="295">
        <v>7.806</v>
      </c>
      <c r="F166" s="295">
        <v>2.6560000000000001</v>
      </c>
      <c r="G166" s="295">
        <v>2.4060000000000001</v>
      </c>
      <c r="H166" s="295">
        <v>2.2629999999999999</v>
      </c>
      <c r="I166" s="295">
        <v>2.5390000000000001</v>
      </c>
      <c r="J166" s="295">
        <v>3.34</v>
      </c>
      <c r="K166" s="295">
        <v>5.1639999999999997</v>
      </c>
      <c r="L166" s="295">
        <v>6.3470000000000004</v>
      </c>
      <c r="M166" s="295">
        <v>2.4700000000000002</v>
      </c>
      <c r="N166" s="295">
        <v>2.6749999999999998</v>
      </c>
      <c r="O166" s="295">
        <v>2.516</v>
      </c>
      <c r="P166" s="295">
        <v>2.3879999999999999</v>
      </c>
      <c r="Q166" s="295">
        <v>1.9990000000000001</v>
      </c>
      <c r="R166" s="295">
        <v>3.948</v>
      </c>
      <c r="S166" s="295">
        <v>5.18</v>
      </c>
      <c r="T166" s="295">
        <v>1.873</v>
      </c>
      <c r="U166" s="295">
        <v>1.764</v>
      </c>
      <c r="V166" s="295">
        <v>1.5940000000000001</v>
      </c>
      <c r="W166" s="295">
        <v>1.6220000000000001</v>
      </c>
      <c r="X166" s="295">
        <v>1.7030000000000001</v>
      </c>
      <c r="Y166" s="295">
        <v>2.8439999999999999</v>
      </c>
      <c r="Z166" s="295">
        <v>2.9209999999999998</v>
      </c>
      <c r="AA166" s="295">
        <v>1.369</v>
      </c>
      <c r="AB166" s="295">
        <v>1.411</v>
      </c>
      <c r="AC166" s="295">
        <v>1.579</v>
      </c>
      <c r="AD166" s="295">
        <v>1.5580000000000001</v>
      </c>
      <c r="AE166" s="295">
        <v>1.7110000000000001</v>
      </c>
      <c r="AF166" s="295">
        <v>2.569</v>
      </c>
      <c r="AG166" s="295">
        <v>2.4969999999999999</v>
      </c>
      <c r="AH166" s="295">
        <v>1.7629999999999999</v>
      </c>
      <c r="AI166" s="29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"/>
  <sheetViews>
    <sheetView workbookViewId="0"/>
  </sheetViews>
  <sheetFormatPr defaultRowHeight="12.75" x14ac:dyDescent="0.2"/>
  <cols>
    <col min="1" max="1" width="14.7109375" bestFit="1" customWidth="1"/>
    <col min="2" max="3" width="16" bestFit="1" customWidth="1"/>
    <col min="4" max="4" width="14" bestFit="1" customWidth="1"/>
  </cols>
  <sheetData>
    <row r="1" spans="1:4" x14ac:dyDescent="0.2">
      <c r="A1" s="304" t="s">
        <v>27</v>
      </c>
      <c r="B1" s="304" t="s">
        <v>323</v>
      </c>
      <c r="C1" s="304" t="s">
        <v>324</v>
      </c>
      <c r="D1" s="304" t="s">
        <v>325</v>
      </c>
    </row>
    <row r="2" spans="1:4" x14ac:dyDescent="0.2">
      <c r="A2" t="s">
        <v>326</v>
      </c>
      <c r="B2" s="301">
        <v>159566181420</v>
      </c>
      <c r="C2" s="301">
        <v>158490882875</v>
      </c>
      <c r="D2" s="301">
        <f>B2-C2</f>
        <v>1075298545</v>
      </c>
    </row>
    <row r="3" spans="1:4" x14ac:dyDescent="0.2">
      <c r="A3" t="s">
        <v>327</v>
      </c>
      <c r="B3" s="301">
        <v>183496677122</v>
      </c>
      <c r="C3" s="301">
        <v>182581981849</v>
      </c>
      <c r="D3" s="301">
        <f>B3-C3</f>
        <v>914695273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4.85546875" bestFit="1" customWidth="1"/>
    <col min="2" max="2" width="16" bestFit="1" customWidth="1"/>
    <col min="3" max="3" width="14" bestFit="1" customWidth="1"/>
    <col min="4" max="4" width="15" bestFit="1" customWidth="1"/>
    <col min="5" max="5" width="15" customWidth="1"/>
    <col min="6" max="6" width="6" bestFit="1" customWidth="1"/>
    <col min="7" max="8" width="6.28515625" bestFit="1" customWidth="1"/>
  </cols>
  <sheetData>
    <row r="1" spans="1:13" x14ac:dyDescent="0.2">
      <c r="A1" t="s">
        <v>0</v>
      </c>
      <c r="B1" t="s">
        <v>321</v>
      </c>
      <c r="C1" t="s">
        <v>310</v>
      </c>
      <c r="D1" t="s">
        <v>320</v>
      </c>
      <c r="E1" t="s">
        <v>322</v>
      </c>
      <c r="F1" t="s">
        <v>310</v>
      </c>
      <c r="G1" t="s">
        <v>320</v>
      </c>
      <c r="H1" t="s">
        <v>322</v>
      </c>
    </row>
    <row r="2" spans="1:13" x14ac:dyDescent="0.2">
      <c r="A2" t="s">
        <v>311</v>
      </c>
      <c r="B2" s="301">
        <v>3975100000</v>
      </c>
      <c r="C2" s="301">
        <v>101340231.7</v>
      </c>
      <c r="D2" s="301">
        <v>191030166.96000001</v>
      </c>
      <c r="E2" s="301">
        <v>249285353.78999999</v>
      </c>
      <c r="F2" s="302">
        <f>C2/$B2</f>
        <v>2.5493756559583407E-2</v>
      </c>
      <c r="G2" s="302">
        <f>D2/$B2</f>
        <v>4.8056694664285179E-2</v>
      </c>
      <c r="H2" s="302">
        <f>E2/$B2</f>
        <v>6.2711718897637797E-2</v>
      </c>
      <c r="K2" s="295">
        <f>F2*100</f>
        <v>2.5493756559583405</v>
      </c>
      <c r="L2" s="295">
        <f t="shared" ref="L2:M2" si="0">G2*100</f>
        <v>4.805669466428518</v>
      </c>
      <c r="M2" s="295">
        <f t="shared" si="0"/>
        <v>6.2711718897637798</v>
      </c>
    </row>
    <row r="3" spans="1:13" x14ac:dyDescent="0.2">
      <c r="A3" t="s">
        <v>312</v>
      </c>
      <c r="B3" s="301">
        <v>2285200000</v>
      </c>
      <c r="C3" s="301">
        <v>41625776.579999998</v>
      </c>
      <c r="D3" s="301">
        <v>72484540.459999993</v>
      </c>
      <c r="E3" s="301">
        <v>94047130.420000002</v>
      </c>
      <c r="F3" s="302">
        <f t="shared" ref="F3:H11" si="1">C3/$B3</f>
        <v>1.8215375713285489E-2</v>
      </c>
      <c r="G3" s="302">
        <f t="shared" si="1"/>
        <v>3.1719123253982143E-2</v>
      </c>
      <c r="H3" s="302">
        <f t="shared" si="1"/>
        <v>4.1154879406616489E-2</v>
      </c>
      <c r="K3" s="295">
        <f t="shared" ref="K3:K11" si="2">F3*100</f>
        <v>1.8215375713285489</v>
      </c>
      <c r="L3" s="295">
        <f t="shared" ref="L3:L11" si="3">G3*100</f>
        <v>3.1719123253982144</v>
      </c>
      <c r="M3" s="295">
        <f t="shared" ref="M3:M11" si="4">H3*100</f>
        <v>4.1154879406616489</v>
      </c>
    </row>
    <row r="4" spans="1:13" x14ac:dyDescent="0.2">
      <c r="A4" t="s">
        <v>313</v>
      </c>
      <c r="B4" s="301">
        <v>4897900000</v>
      </c>
      <c r="C4" s="301">
        <v>129571707.54000001</v>
      </c>
      <c r="D4" s="301">
        <v>228147762.03</v>
      </c>
      <c r="E4" s="301">
        <v>270835401.74000001</v>
      </c>
      <c r="F4" s="302">
        <f t="shared" si="1"/>
        <v>2.6454543281814655E-2</v>
      </c>
      <c r="G4" s="302">
        <f t="shared" si="1"/>
        <v>4.6580730931623758E-2</v>
      </c>
      <c r="H4" s="302">
        <f t="shared" si="1"/>
        <v>5.5296229351354663E-2</v>
      </c>
      <c r="K4" s="295">
        <f t="shared" si="2"/>
        <v>2.6454543281814655</v>
      </c>
      <c r="L4" s="295">
        <f t="shared" si="3"/>
        <v>4.6580730931623755</v>
      </c>
      <c r="M4" s="295">
        <f t="shared" si="4"/>
        <v>5.5296229351354667</v>
      </c>
    </row>
    <row r="5" spans="1:13" x14ac:dyDescent="0.2">
      <c r="A5" t="s">
        <v>314</v>
      </c>
      <c r="B5" s="301">
        <v>4627400000</v>
      </c>
      <c r="C5" s="301">
        <v>149431617.34</v>
      </c>
      <c r="D5" s="301">
        <v>244832332.50999999</v>
      </c>
      <c r="E5" s="301">
        <v>321781694.98000002</v>
      </c>
      <c r="F5" s="302">
        <f t="shared" si="1"/>
        <v>3.2292781549034012E-2</v>
      </c>
      <c r="G5" s="302">
        <f t="shared" si="1"/>
        <v>5.2909264924147464E-2</v>
      </c>
      <c r="H5" s="302">
        <f t="shared" si="1"/>
        <v>6.9538335778190782E-2</v>
      </c>
      <c r="K5" s="295">
        <f t="shared" si="2"/>
        <v>3.2292781549034011</v>
      </c>
      <c r="L5" s="295">
        <f t="shared" si="3"/>
        <v>5.2909264924147461</v>
      </c>
      <c r="M5" s="295">
        <f t="shared" si="4"/>
        <v>6.9538335778190783</v>
      </c>
    </row>
    <row r="6" spans="1:13" x14ac:dyDescent="0.2">
      <c r="A6" t="s">
        <v>315</v>
      </c>
      <c r="B6" s="301">
        <v>4577000000</v>
      </c>
      <c r="C6" s="301">
        <v>143780075.22999999</v>
      </c>
      <c r="D6" s="301">
        <v>230278904.25</v>
      </c>
      <c r="E6" s="301">
        <v>304004249.02999997</v>
      </c>
      <c r="F6" s="302">
        <f t="shared" si="1"/>
        <v>3.1413606124098756E-2</v>
      </c>
      <c r="G6" s="302">
        <f t="shared" si="1"/>
        <v>5.0312192320297135E-2</v>
      </c>
      <c r="H6" s="302">
        <f t="shared" si="1"/>
        <v>6.6419980124535719E-2</v>
      </c>
      <c r="K6" s="295">
        <f t="shared" si="2"/>
        <v>3.1413606124098754</v>
      </c>
      <c r="L6" s="295">
        <f t="shared" si="3"/>
        <v>5.0312192320297138</v>
      </c>
      <c r="M6" s="295">
        <f t="shared" si="4"/>
        <v>6.6419980124535716</v>
      </c>
    </row>
    <row r="7" spans="1:13" x14ac:dyDescent="0.2">
      <c r="A7" t="s">
        <v>316</v>
      </c>
      <c r="B7" s="301">
        <v>30794700000</v>
      </c>
      <c r="C7" s="301">
        <v>1232966424.46</v>
      </c>
      <c r="D7" s="301">
        <v>2309633993.48</v>
      </c>
      <c r="E7" s="301">
        <v>2612895053.8200002</v>
      </c>
      <c r="F7" s="302">
        <f t="shared" si="1"/>
        <v>4.0038267119341969E-2</v>
      </c>
      <c r="G7" s="302">
        <f t="shared" si="1"/>
        <v>7.5001022691567054E-2</v>
      </c>
      <c r="H7" s="302">
        <f t="shared" si="1"/>
        <v>8.4848855608919721E-2</v>
      </c>
      <c r="K7" s="295">
        <f t="shared" si="2"/>
        <v>4.003826711934197</v>
      </c>
      <c r="L7" s="295">
        <f t="shared" si="3"/>
        <v>7.5001022691567059</v>
      </c>
      <c r="M7" s="295">
        <f t="shared" si="4"/>
        <v>8.4848855608919713</v>
      </c>
    </row>
    <row r="8" spans="1:13" x14ac:dyDescent="0.2">
      <c r="A8" t="s">
        <v>317</v>
      </c>
      <c r="B8" s="301">
        <v>31822600000</v>
      </c>
      <c r="C8" s="301">
        <v>1828713818.8</v>
      </c>
      <c r="D8" s="301">
        <v>2741777665.7199998</v>
      </c>
      <c r="E8" s="301">
        <v>3168243302.1300001</v>
      </c>
      <c r="F8" s="302">
        <f t="shared" si="1"/>
        <v>5.7465883328200712E-2</v>
      </c>
      <c r="G8" s="302">
        <f t="shared" si="1"/>
        <v>8.6158191528033529E-2</v>
      </c>
      <c r="H8" s="302">
        <f t="shared" si="1"/>
        <v>9.955953637132102E-2</v>
      </c>
      <c r="K8" s="295">
        <f t="shared" si="2"/>
        <v>5.7465883328200711</v>
      </c>
      <c r="L8" s="295">
        <f t="shared" si="3"/>
        <v>8.6158191528033523</v>
      </c>
      <c r="M8" s="295">
        <f t="shared" si="4"/>
        <v>9.9559536371321027</v>
      </c>
    </row>
    <row r="9" spans="1:13" x14ac:dyDescent="0.2">
      <c r="A9" t="s">
        <v>318</v>
      </c>
      <c r="B9" s="301">
        <v>14833900000</v>
      </c>
      <c r="C9" s="301">
        <v>437769230.95999998</v>
      </c>
      <c r="D9" s="301">
        <v>682759391.15999997</v>
      </c>
      <c r="E9" s="301">
        <v>824369737.27999997</v>
      </c>
      <c r="F9" s="302">
        <f t="shared" si="1"/>
        <v>2.9511405022280047E-2</v>
      </c>
      <c r="G9" s="302">
        <f t="shared" si="1"/>
        <v>4.6026964666068933E-2</v>
      </c>
      <c r="H9" s="302">
        <f t="shared" si="1"/>
        <v>5.5573364879094506E-2</v>
      </c>
      <c r="K9" s="295">
        <f t="shared" si="2"/>
        <v>2.9511405022280046</v>
      </c>
      <c r="L9" s="295">
        <f t="shared" si="3"/>
        <v>4.6026964666068935</v>
      </c>
      <c r="M9" s="295">
        <f t="shared" si="4"/>
        <v>5.5573364879094509</v>
      </c>
    </row>
    <row r="10" spans="1:13" x14ac:dyDescent="0.2">
      <c r="A10" t="s">
        <v>319</v>
      </c>
      <c r="B10" s="301">
        <v>15741100000</v>
      </c>
      <c r="C10" s="301">
        <v>600043474.01999998</v>
      </c>
      <c r="D10" s="301">
        <v>994536974.63999999</v>
      </c>
      <c r="E10" s="301">
        <v>1189252799.4300001</v>
      </c>
      <c r="F10" s="302">
        <f t="shared" si="1"/>
        <v>3.8119538915323575E-2</v>
      </c>
      <c r="G10" s="302">
        <f t="shared" si="1"/>
        <v>6.3180906965841013E-2</v>
      </c>
      <c r="H10" s="302">
        <f t="shared" si="1"/>
        <v>7.5550806451264524E-2</v>
      </c>
      <c r="K10" s="295">
        <f t="shared" si="2"/>
        <v>3.8119538915323576</v>
      </c>
      <c r="L10" s="295">
        <f t="shared" si="3"/>
        <v>6.3180906965841013</v>
      </c>
      <c r="M10" s="295">
        <f t="shared" si="4"/>
        <v>7.5550806451264521</v>
      </c>
    </row>
    <row r="11" spans="1:13" x14ac:dyDescent="0.2">
      <c r="B11" s="301">
        <f>SUM(B2:B10)</f>
        <v>113554900000</v>
      </c>
      <c r="C11" s="301">
        <f>SUM(C2:C10)</f>
        <v>4665242356.6299992</v>
      </c>
      <c r="D11" s="301">
        <f t="shared" ref="D11:E11" si="5">SUM(D2:D10)</f>
        <v>7695481731.21</v>
      </c>
      <c r="E11" s="301">
        <f t="shared" si="5"/>
        <v>9034714722.6199989</v>
      </c>
      <c r="F11" s="302">
        <f t="shared" si="1"/>
        <v>4.1083584738571377E-2</v>
      </c>
      <c r="G11" s="302">
        <f t="shared" si="1"/>
        <v>6.7768821347295449E-2</v>
      </c>
      <c r="H11" s="302">
        <f t="shared" si="1"/>
        <v>7.9562526342940712E-2</v>
      </c>
      <c r="K11" s="295">
        <f t="shared" si="2"/>
        <v>4.1083584738571375</v>
      </c>
      <c r="L11" s="295">
        <f t="shared" si="3"/>
        <v>6.7768821347295454</v>
      </c>
      <c r="M11" s="295">
        <f t="shared" si="4"/>
        <v>7.9562526342940716</v>
      </c>
    </row>
    <row r="12" spans="1:13" x14ac:dyDescent="0.2">
      <c r="B12" s="303">
        <f>SUM(C11:E11)</f>
        <v>21395438810.459999</v>
      </c>
      <c r="C12" s="301"/>
      <c r="D12" s="301"/>
      <c r="E12" s="301"/>
      <c r="F12" s="302"/>
      <c r="G12" s="302"/>
    </row>
    <row r="13" spans="1:13" x14ac:dyDescent="0.2">
      <c r="C13" s="302"/>
      <c r="D13" s="302"/>
      <c r="E13" s="302"/>
      <c r="F13" s="302"/>
      <c r="G13" s="302"/>
    </row>
    <row r="16" spans="1:13" x14ac:dyDescent="0.2">
      <c r="A16" t="s">
        <v>36</v>
      </c>
      <c r="B16" s="301">
        <v>1849.1</v>
      </c>
      <c r="C16" s="301">
        <v>102.05271137999999</v>
      </c>
      <c r="D16" s="301">
        <v>99.173708129999994</v>
      </c>
      <c r="E16" s="301">
        <v>130.12096068</v>
      </c>
      <c r="F16" s="302">
        <f>C16/$B16</f>
        <v>5.5190477194310743E-2</v>
      </c>
      <c r="G16" s="302">
        <f>D16/$B16</f>
        <v>5.3633501773835919E-2</v>
      </c>
      <c r="H16" s="302">
        <f>E16/$B16</f>
        <v>7.0369888421394189E-2</v>
      </c>
      <c r="K16" s="295">
        <f t="shared" ref="K16" si="6">F16*100</f>
        <v>5.5190477194310743</v>
      </c>
      <c r="L16" s="295">
        <f t="shared" ref="L16" si="7">G16*100</f>
        <v>5.3633501773835919</v>
      </c>
      <c r="M16" s="295">
        <f t="shared" ref="M16" si="8">H16*100</f>
        <v>7.0369888421394187</v>
      </c>
    </row>
    <row r="17" spans="1:13" x14ac:dyDescent="0.2">
      <c r="A17" t="s">
        <v>43</v>
      </c>
      <c r="B17" s="301">
        <v>4470.1000000000004</v>
      </c>
      <c r="C17" s="301">
        <v>168.83099118000001</v>
      </c>
      <c r="D17" s="301">
        <v>149.10409147999999</v>
      </c>
      <c r="E17" s="301">
        <v>231.05360672</v>
      </c>
      <c r="F17" s="302">
        <f t="shared" ref="F17:H80" si="9">C17/$B17</f>
        <v>3.7768951741571778E-2</v>
      </c>
      <c r="G17" s="302">
        <f t="shared" si="9"/>
        <v>3.3355873801480945E-2</v>
      </c>
      <c r="H17" s="302">
        <f t="shared" si="9"/>
        <v>5.1688688557302964E-2</v>
      </c>
      <c r="K17" s="295">
        <f t="shared" ref="K17:K80" si="10">F17*100</f>
        <v>3.7768951741571777</v>
      </c>
      <c r="L17" s="295">
        <f t="shared" ref="L17:L80" si="11">G17*100</f>
        <v>3.3355873801480946</v>
      </c>
      <c r="M17" s="295">
        <f t="shared" ref="M17:M80" si="12">H17*100</f>
        <v>5.1688688557302962</v>
      </c>
    </row>
    <row r="18" spans="1:13" x14ac:dyDescent="0.2">
      <c r="A18" t="s">
        <v>32</v>
      </c>
      <c r="B18" s="301">
        <v>2738.2</v>
      </c>
      <c r="C18" s="301">
        <v>74.131910349999998</v>
      </c>
      <c r="D18" s="301">
        <v>154.28573336000002</v>
      </c>
      <c r="E18" s="301">
        <v>362.19505667999999</v>
      </c>
      <c r="F18" s="302">
        <f t="shared" si="9"/>
        <v>2.707322706522533E-2</v>
      </c>
      <c r="G18" s="302">
        <f t="shared" si="9"/>
        <v>5.6345677218610779E-2</v>
      </c>
      <c r="H18" s="302">
        <f t="shared" si="9"/>
        <v>0.13227487279234534</v>
      </c>
      <c r="K18" s="295">
        <f t="shared" si="10"/>
        <v>2.7073227065225329</v>
      </c>
      <c r="L18" s="295">
        <f t="shared" si="11"/>
        <v>5.6345677218610781</v>
      </c>
      <c r="M18" s="295">
        <f t="shared" si="12"/>
        <v>13.227487279234534</v>
      </c>
    </row>
    <row r="19" spans="1:13" x14ac:dyDescent="0.2">
      <c r="A19" t="s">
        <v>46</v>
      </c>
      <c r="B19" s="301">
        <v>2251.3000000000002</v>
      </c>
      <c r="C19" s="301">
        <v>95.198851590000004</v>
      </c>
      <c r="D19" s="301">
        <v>148.69715221000001</v>
      </c>
      <c r="E19" s="301">
        <v>130.61708167</v>
      </c>
      <c r="F19" s="302">
        <f t="shared" si="9"/>
        <v>4.2286168698085547E-2</v>
      </c>
      <c r="G19" s="302">
        <f t="shared" si="9"/>
        <v>6.6049461293474887E-2</v>
      </c>
      <c r="H19" s="302">
        <f t="shared" si="9"/>
        <v>5.801851448940612E-2</v>
      </c>
      <c r="K19" s="295">
        <f t="shared" si="10"/>
        <v>4.2286168698085547</v>
      </c>
      <c r="L19" s="295">
        <f t="shared" si="11"/>
        <v>6.6049461293474891</v>
      </c>
      <c r="M19" s="295">
        <f t="shared" si="12"/>
        <v>5.8018514489406119</v>
      </c>
    </row>
    <row r="20" spans="1:13" x14ac:dyDescent="0.2">
      <c r="A20" t="s">
        <v>47</v>
      </c>
      <c r="B20" s="301">
        <v>1562.1</v>
      </c>
      <c r="C20" s="301">
        <v>54.191692090000004</v>
      </c>
      <c r="D20" s="301">
        <v>151.66179509</v>
      </c>
      <c r="E20" s="301">
        <v>159.59630909000001</v>
      </c>
      <c r="F20" s="302">
        <f t="shared" si="9"/>
        <v>3.4691563977978367E-2</v>
      </c>
      <c r="G20" s="302">
        <f t="shared" si="9"/>
        <v>9.7088403488893166E-2</v>
      </c>
      <c r="H20" s="302">
        <f t="shared" si="9"/>
        <v>0.10216779277254978</v>
      </c>
      <c r="K20" s="295">
        <f t="shared" si="10"/>
        <v>3.4691563977978368</v>
      </c>
      <c r="L20" s="295">
        <f t="shared" si="11"/>
        <v>9.708840348889316</v>
      </c>
      <c r="M20" s="295">
        <f t="shared" si="12"/>
        <v>10.216779277254979</v>
      </c>
    </row>
    <row r="21" spans="1:13" x14ac:dyDescent="0.2">
      <c r="A21" t="s">
        <v>79</v>
      </c>
      <c r="B21" s="301">
        <v>1501.3</v>
      </c>
      <c r="C21" s="301">
        <v>51.565154530000001</v>
      </c>
      <c r="D21" s="301">
        <v>79.130682859999993</v>
      </c>
      <c r="E21" s="301">
        <v>113.60454831</v>
      </c>
      <c r="F21" s="302">
        <f t="shared" si="9"/>
        <v>3.4347002284686609E-2</v>
      </c>
      <c r="G21" s="302">
        <f t="shared" si="9"/>
        <v>5.2708108212882167E-2</v>
      </c>
      <c r="H21" s="302">
        <f t="shared" si="9"/>
        <v>7.5670784193698798E-2</v>
      </c>
      <c r="K21" s="295">
        <f t="shared" si="10"/>
        <v>3.4347002284686607</v>
      </c>
      <c r="L21" s="295">
        <f t="shared" si="11"/>
        <v>5.270810821288217</v>
      </c>
      <c r="M21" s="295">
        <f t="shared" si="12"/>
        <v>7.5670784193698797</v>
      </c>
    </row>
    <row r="22" spans="1:13" x14ac:dyDescent="0.2">
      <c r="A22" t="s">
        <v>80</v>
      </c>
      <c r="B22" s="301">
        <v>1983.5</v>
      </c>
      <c r="C22" s="301">
        <v>60.513957670000003</v>
      </c>
      <c r="D22" s="301">
        <v>185.22485746999999</v>
      </c>
      <c r="E22" s="301">
        <v>110.89239343999999</v>
      </c>
      <c r="F22" s="302">
        <f t="shared" si="9"/>
        <v>3.0508675407108648E-2</v>
      </c>
      <c r="G22" s="302">
        <f t="shared" si="9"/>
        <v>9.338283714141668E-2</v>
      </c>
      <c r="H22" s="302">
        <f t="shared" si="9"/>
        <v>5.5907433042601457E-2</v>
      </c>
      <c r="K22" s="295">
        <f t="shared" si="10"/>
        <v>3.0508675407108647</v>
      </c>
      <c r="L22" s="295">
        <f t="shared" si="11"/>
        <v>9.3382837141416672</v>
      </c>
      <c r="M22" s="295">
        <f t="shared" si="12"/>
        <v>5.5907433042601458</v>
      </c>
    </row>
    <row r="23" spans="1:13" x14ac:dyDescent="0.2">
      <c r="A23" t="s">
        <v>288</v>
      </c>
      <c r="B23" s="301">
        <v>1108.3</v>
      </c>
      <c r="C23" s="301">
        <v>108.94154015000001</v>
      </c>
      <c r="D23" s="301">
        <v>76.885254700000004</v>
      </c>
      <c r="E23" s="301">
        <v>72.310188780000004</v>
      </c>
      <c r="F23" s="302">
        <f t="shared" si="9"/>
        <v>9.829607520526934E-2</v>
      </c>
      <c r="G23" s="302">
        <f t="shared" si="9"/>
        <v>6.9372240999729329E-2</v>
      </c>
      <c r="H23" s="302">
        <f t="shared" si="9"/>
        <v>6.5244237823693957E-2</v>
      </c>
      <c r="K23" s="295">
        <f t="shared" si="10"/>
        <v>9.8296075205269346</v>
      </c>
      <c r="L23" s="295">
        <f t="shared" si="11"/>
        <v>6.9372240999729327</v>
      </c>
      <c r="M23" s="295">
        <f t="shared" si="12"/>
        <v>6.5244237823693956</v>
      </c>
    </row>
    <row r="24" spans="1:13" x14ac:dyDescent="0.2">
      <c r="A24" t="s">
        <v>153</v>
      </c>
      <c r="B24" s="301">
        <v>1379.6</v>
      </c>
      <c r="C24" s="301">
        <v>49.962174570000002</v>
      </c>
      <c r="D24" s="301">
        <v>142.74160946000001</v>
      </c>
      <c r="E24" s="301">
        <v>80.232374750000005</v>
      </c>
      <c r="F24" s="302">
        <f t="shared" si="9"/>
        <v>3.6214971419251958E-2</v>
      </c>
      <c r="G24" s="302">
        <f t="shared" si="9"/>
        <v>0.10346593901130764</v>
      </c>
      <c r="H24" s="302">
        <f t="shared" si="9"/>
        <v>5.8156258879385338E-2</v>
      </c>
      <c r="K24" s="295">
        <f t="shared" si="10"/>
        <v>3.6214971419251958</v>
      </c>
      <c r="L24" s="295">
        <f t="shared" si="11"/>
        <v>10.346593901130765</v>
      </c>
      <c r="M24" s="295">
        <f t="shared" si="12"/>
        <v>5.8156258879385341</v>
      </c>
    </row>
    <row r="25" spans="1:13" x14ac:dyDescent="0.2">
      <c r="A25" t="s">
        <v>81</v>
      </c>
      <c r="B25" s="301">
        <v>1972.2</v>
      </c>
      <c r="C25" s="301">
        <v>65.549618679999995</v>
      </c>
      <c r="D25" s="301">
        <v>188.06499166999998</v>
      </c>
      <c r="E25" s="301">
        <v>127.54586981999999</v>
      </c>
      <c r="F25" s="302">
        <f t="shared" si="9"/>
        <v>3.3236800872122496E-2</v>
      </c>
      <c r="G25" s="302">
        <f t="shared" si="9"/>
        <v>9.5357971640807213E-2</v>
      </c>
      <c r="H25" s="302">
        <f t="shared" si="9"/>
        <v>6.4671873958016421E-2</v>
      </c>
      <c r="K25" s="295">
        <f t="shared" si="10"/>
        <v>3.3236800872122494</v>
      </c>
      <c r="L25" s="295">
        <f t="shared" si="11"/>
        <v>9.5357971640807211</v>
      </c>
      <c r="M25" s="295">
        <f t="shared" si="12"/>
        <v>6.4671873958016421</v>
      </c>
    </row>
    <row r="26" spans="1:13" x14ac:dyDescent="0.2">
      <c r="A26" t="s">
        <v>82</v>
      </c>
      <c r="B26" s="301">
        <v>1791.3</v>
      </c>
      <c r="C26" s="301">
        <v>67.591429519999991</v>
      </c>
      <c r="D26" s="301">
        <v>116.83524733</v>
      </c>
      <c r="E26" s="301">
        <v>116.7806384</v>
      </c>
      <c r="F26" s="302">
        <f t="shared" si="9"/>
        <v>3.7733171171774688E-2</v>
      </c>
      <c r="G26" s="302">
        <f t="shared" si="9"/>
        <v>6.5223718712666787E-2</v>
      </c>
      <c r="H26" s="302">
        <f t="shared" si="9"/>
        <v>6.5193233070954051E-2</v>
      </c>
      <c r="K26" s="295">
        <f t="shared" si="10"/>
        <v>3.7733171171774686</v>
      </c>
      <c r="L26" s="295">
        <f t="shared" si="11"/>
        <v>6.5223718712666789</v>
      </c>
      <c r="M26" s="295">
        <f t="shared" si="12"/>
        <v>6.5193233070954051</v>
      </c>
    </row>
    <row r="27" spans="1:13" x14ac:dyDescent="0.2">
      <c r="A27" t="s">
        <v>83</v>
      </c>
      <c r="B27" s="301">
        <v>1430.2</v>
      </c>
      <c r="C27" s="301">
        <v>51.188407040000001</v>
      </c>
      <c r="D27" s="301">
        <v>98.426451930000013</v>
      </c>
      <c r="E27" s="301">
        <v>131.39024409000001</v>
      </c>
      <c r="F27" s="302">
        <f t="shared" si="9"/>
        <v>3.5791083093273668E-2</v>
      </c>
      <c r="G27" s="302">
        <f t="shared" si="9"/>
        <v>6.8820061480911771E-2</v>
      </c>
      <c r="H27" s="302">
        <f t="shared" si="9"/>
        <v>9.1868440840441906E-2</v>
      </c>
      <c r="K27" s="295">
        <f t="shared" si="10"/>
        <v>3.579108309327367</v>
      </c>
      <c r="L27" s="295">
        <f t="shared" si="11"/>
        <v>6.8820061480911772</v>
      </c>
      <c r="M27" s="295">
        <f t="shared" si="12"/>
        <v>9.186844084044191</v>
      </c>
    </row>
    <row r="28" spans="1:13" x14ac:dyDescent="0.2">
      <c r="A28" t="s">
        <v>84</v>
      </c>
      <c r="B28" s="301">
        <v>977.7</v>
      </c>
      <c r="C28" s="301">
        <v>41.644919159999993</v>
      </c>
      <c r="D28" s="301">
        <v>75.181248400000001</v>
      </c>
      <c r="E28" s="301">
        <v>69.422165969999995</v>
      </c>
      <c r="F28" s="302">
        <f t="shared" si="9"/>
        <v>4.2594782816814968E-2</v>
      </c>
      <c r="G28" s="302">
        <f t="shared" si="9"/>
        <v>7.6896029866012072E-2</v>
      </c>
      <c r="H28" s="302">
        <f t="shared" si="9"/>
        <v>7.1005590641301006E-2</v>
      </c>
      <c r="K28" s="295">
        <f t="shared" si="10"/>
        <v>4.2594782816814964</v>
      </c>
      <c r="L28" s="295">
        <f t="shared" si="11"/>
        <v>7.6896029866012068</v>
      </c>
      <c r="M28" s="295">
        <f t="shared" si="12"/>
        <v>7.1005590641301009</v>
      </c>
    </row>
    <row r="29" spans="1:13" x14ac:dyDescent="0.2">
      <c r="A29" t="s">
        <v>85</v>
      </c>
      <c r="B29" s="301">
        <v>2076.9</v>
      </c>
      <c r="C29" s="301">
        <v>109.6120653</v>
      </c>
      <c r="D29" s="301">
        <v>92.651223579999993</v>
      </c>
      <c r="E29" s="301">
        <v>96.772819870000006</v>
      </c>
      <c r="F29" s="302">
        <f t="shared" si="9"/>
        <v>5.2776765997399964E-2</v>
      </c>
      <c r="G29" s="302">
        <f t="shared" si="9"/>
        <v>4.4610344060859931E-2</v>
      </c>
      <c r="H29" s="302">
        <f t="shared" si="9"/>
        <v>4.6594838398574798E-2</v>
      </c>
      <c r="K29" s="295">
        <f t="shared" si="10"/>
        <v>5.2776765997399968</v>
      </c>
      <c r="L29" s="295">
        <f t="shared" si="11"/>
        <v>4.461034406085993</v>
      </c>
      <c r="M29" s="295">
        <f t="shared" si="12"/>
        <v>4.6594838398574794</v>
      </c>
    </row>
    <row r="30" spans="1:13" x14ac:dyDescent="0.2">
      <c r="A30" t="s">
        <v>86</v>
      </c>
      <c r="B30" s="301">
        <v>618.5</v>
      </c>
      <c r="C30" s="301">
        <v>15.12604484</v>
      </c>
      <c r="D30" s="301">
        <v>34.859950900000001</v>
      </c>
      <c r="E30" s="301">
        <v>44.924653030000002</v>
      </c>
      <c r="F30" s="302">
        <f t="shared" si="9"/>
        <v>2.4456014292643494E-2</v>
      </c>
      <c r="G30" s="302">
        <f t="shared" si="9"/>
        <v>5.6362087146321752E-2</v>
      </c>
      <c r="H30" s="302">
        <f t="shared" si="9"/>
        <v>7.2634847259498786E-2</v>
      </c>
      <c r="K30" s="295">
        <f t="shared" si="10"/>
        <v>2.4456014292643493</v>
      </c>
      <c r="L30" s="295">
        <f t="shared" si="11"/>
        <v>5.6362087146321755</v>
      </c>
      <c r="M30" s="295">
        <f t="shared" si="12"/>
        <v>7.2634847259498789</v>
      </c>
    </row>
    <row r="31" spans="1:13" x14ac:dyDescent="0.2">
      <c r="A31" t="s">
        <v>87</v>
      </c>
      <c r="B31" s="301">
        <v>1747.2</v>
      </c>
      <c r="C31" s="301">
        <v>58.235458560000005</v>
      </c>
      <c r="D31" s="301">
        <v>176.55137360000001</v>
      </c>
      <c r="E31" s="301">
        <v>119.35944159</v>
      </c>
      <c r="F31" s="302">
        <f t="shared" si="9"/>
        <v>3.3330734065934065E-2</v>
      </c>
      <c r="G31" s="302">
        <f t="shared" si="9"/>
        <v>0.10104817628205129</v>
      </c>
      <c r="H31" s="302">
        <f t="shared" si="9"/>
        <v>6.8314698712225272E-2</v>
      </c>
      <c r="K31" s="295">
        <f t="shared" si="10"/>
        <v>3.3330734065934067</v>
      </c>
      <c r="L31" s="295">
        <f t="shared" si="11"/>
        <v>10.104817628205129</v>
      </c>
      <c r="M31" s="295">
        <f t="shared" si="12"/>
        <v>6.8314698712225272</v>
      </c>
    </row>
    <row r="32" spans="1:13" x14ac:dyDescent="0.2">
      <c r="A32" t="s">
        <v>88</v>
      </c>
      <c r="B32" s="301">
        <v>526.20000000000005</v>
      </c>
      <c r="C32" s="301">
        <v>23.816384929999998</v>
      </c>
      <c r="D32" s="301">
        <v>44.728515850000001</v>
      </c>
      <c r="E32" s="301">
        <v>61.023133799999997</v>
      </c>
      <c r="F32" s="302">
        <f t="shared" si="9"/>
        <v>4.5261088806537432E-2</v>
      </c>
      <c r="G32" s="302">
        <f t="shared" si="9"/>
        <v>8.500288074876472E-2</v>
      </c>
      <c r="H32" s="302">
        <f t="shared" si="9"/>
        <v>0.11596946750285062</v>
      </c>
      <c r="K32" s="295">
        <f t="shared" si="10"/>
        <v>4.5261088806537435</v>
      </c>
      <c r="L32" s="295">
        <f t="shared" si="11"/>
        <v>8.5002880748764724</v>
      </c>
      <c r="M32" s="295">
        <f t="shared" si="12"/>
        <v>11.596946750285062</v>
      </c>
    </row>
    <row r="33" spans="1:13" x14ac:dyDescent="0.2">
      <c r="A33" t="s">
        <v>89</v>
      </c>
      <c r="B33" s="301">
        <v>1335.6</v>
      </c>
      <c r="C33" s="301">
        <v>107.80379445</v>
      </c>
      <c r="D33" s="301">
        <v>62.093981770000006</v>
      </c>
      <c r="E33" s="301">
        <v>59.655826950000005</v>
      </c>
      <c r="F33" s="302">
        <f t="shared" si="9"/>
        <v>8.0715629267744837E-2</v>
      </c>
      <c r="G33" s="302">
        <f t="shared" si="9"/>
        <v>4.6491450861036246E-2</v>
      </c>
      <c r="H33" s="302">
        <f t="shared" si="9"/>
        <v>4.4665938117699915E-2</v>
      </c>
      <c r="K33" s="295">
        <f t="shared" si="10"/>
        <v>8.0715629267744831</v>
      </c>
      <c r="L33" s="295">
        <f t="shared" si="11"/>
        <v>4.6491450861036245</v>
      </c>
      <c r="M33" s="295">
        <f t="shared" si="12"/>
        <v>4.4665938117699913</v>
      </c>
    </row>
    <row r="34" spans="1:13" x14ac:dyDescent="0.2">
      <c r="A34" t="s">
        <v>90</v>
      </c>
      <c r="B34" s="301">
        <v>998.4</v>
      </c>
      <c r="C34" s="301">
        <v>31.481815910000002</v>
      </c>
      <c r="D34" s="301">
        <v>114.10992943000001</v>
      </c>
      <c r="E34" s="301">
        <v>52.348385219999997</v>
      </c>
      <c r="F34" s="302">
        <f t="shared" si="9"/>
        <v>3.1532267538060897E-2</v>
      </c>
      <c r="G34" s="302">
        <f t="shared" si="9"/>
        <v>0.11429279790665064</v>
      </c>
      <c r="H34" s="302">
        <f t="shared" si="9"/>
        <v>5.243227686298077E-2</v>
      </c>
      <c r="K34" s="295">
        <f t="shared" si="10"/>
        <v>3.1532267538060896</v>
      </c>
      <c r="L34" s="295">
        <f t="shared" si="11"/>
        <v>11.429279790665065</v>
      </c>
      <c r="M34" s="295">
        <f t="shared" si="12"/>
        <v>5.2432276862980771</v>
      </c>
    </row>
    <row r="35" spans="1:13" x14ac:dyDescent="0.2">
      <c r="A35" t="s">
        <v>91</v>
      </c>
      <c r="B35" s="301">
        <v>1717.6</v>
      </c>
      <c r="C35" s="301">
        <v>73.142291090000001</v>
      </c>
      <c r="D35" s="301">
        <v>111.63341174</v>
      </c>
      <c r="E35" s="301">
        <v>146.56244238999997</v>
      </c>
      <c r="F35" s="302">
        <f t="shared" si="9"/>
        <v>4.2584007388216119E-2</v>
      </c>
      <c r="G35" s="302">
        <f t="shared" si="9"/>
        <v>6.4993835433162561E-2</v>
      </c>
      <c r="H35" s="302">
        <f t="shared" si="9"/>
        <v>8.5329787139031193E-2</v>
      </c>
      <c r="K35" s="295">
        <f t="shared" si="10"/>
        <v>4.2584007388216119</v>
      </c>
      <c r="L35" s="295">
        <f t="shared" si="11"/>
        <v>6.4993835433162559</v>
      </c>
      <c r="M35" s="295">
        <f t="shared" si="12"/>
        <v>8.5329787139031197</v>
      </c>
    </row>
    <row r="36" spans="1:13" x14ac:dyDescent="0.2">
      <c r="A36" t="s">
        <v>59</v>
      </c>
      <c r="B36" s="301">
        <v>1709.4</v>
      </c>
      <c r="C36" s="301">
        <v>58.38642591</v>
      </c>
      <c r="D36" s="301">
        <v>136.28675243999999</v>
      </c>
      <c r="E36" s="301">
        <v>133.67190084000001</v>
      </c>
      <c r="F36" s="302">
        <f t="shared" si="9"/>
        <v>3.4156093313443311E-2</v>
      </c>
      <c r="G36" s="302">
        <f t="shared" si="9"/>
        <v>7.9727829905229891E-2</v>
      </c>
      <c r="H36" s="302">
        <f t="shared" si="9"/>
        <v>7.8198140189540188E-2</v>
      </c>
      <c r="K36" s="295">
        <f t="shared" si="10"/>
        <v>3.415609331344331</v>
      </c>
      <c r="L36" s="295">
        <f t="shared" si="11"/>
        <v>7.9727829905229894</v>
      </c>
      <c r="M36" s="295">
        <f t="shared" si="12"/>
        <v>7.8198140189540188</v>
      </c>
    </row>
    <row r="37" spans="1:13" x14ac:dyDescent="0.2">
      <c r="A37" t="s">
        <v>92</v>
      </c>
      <c r="B37" s="301">
        <v>1116.3</v>
      </c>
      <c r="C37" s="301">
        <v>31.721364519999998</v>
      </c>
      <c r="D37" s="301">
        <v>43.106803960000001</v>
      </c>
      <c r="E37" s="301">
        <v>52.982798930000001</v>
      </c>
      <c r="F37" s="302">
        <f t="shared" si="9"/>
        <v>2.8416522906028845E-2</v>
      </c>
      <c r="G37" s="302">
        <f t="shared" si="9"/>
        <v>3.8615787834811434E-2</v>
      </c>
      <c r="H37" s="302">
        <f t="shared" si="9"/>
        <v>4.7462867446027054E-2</v>
      </c>
      <c r="K37" s="295">
        <f t="shared" si="10"/>
        <v>2.8416522906028847</v>
      </c>
      <c r="L37" s="295">
        <f t="shared" si="11"/>
        <v>3.8615787834811433</v>
      </c>
      <c r="M37" s="295">
        <f t="shared" si="12"/>
        <v>4.7462867446027053</v>
      </c>
    </row>
    <row r="38" spans="1:13" x14ac:dyDescent="0.2">
      <c r="A38" t="s">
        <v>93</v>
      </c>
      <c r="B38" s="301">
        <v>1744.6</v>
      </c>
      <c r="C38" s="301">
        <v>52.978259659999999</v>
      </c>
      <c r="D38" s="301">
        <v>229.70182768000001</v>
      </c>
      <c r="E38" s="301">
        <v>110.51033264</v>
      </c>
      <c r="F38" s="302">
        <f t="shared" si="9"/>
        <v>3.0366995104895107E-2</v>
      </c>
      <c r="G38" s="302">
        <f t="shared" si="9"/>
        <v>0.13166446616989569</v>
      </c>
      <c r="H38" s="302">
        <f t="shared" si="9"/>
        <v>6.3344223684512216E-2</v>
      </c>
      <c r="K38" s="295">
        <f t="shared" si="10"/>
        <v>3.0366995104895107</v>
      </c>
      <c r="L38" s="295">
        <f t="shared" si="11"/>
        <v>13.166446616989569</v>
      </c>
      <c r="M38" s="295">
        <f t="shared" si="12"/>
        <v>6.3344223684512215</v>
      </c>
    </row>
    <row r="39" spans="1:13" x14ac:dyDescent="0.2">
      <c r="A39" t="s">
        <v>94</v>
      </c>
      <c r="B39" s="301">
        <v>946</v>
      </c>
      <c r="C39" s="301">
        <v>22.609892170000002</v>
      </c>
      <c r="D39" s="301">
        <v>29.31121108</v>
      </c>
      <c r="E39" s="301">
        <v>34.920815850000004</v>
      </c>
      <c r="F39" s="302">
        <f t="shared" si="9"/>
        <v>2.3900520264270614E-2</v>
      </c>
      <c r="G39" s="302">
        <f t="shared" si="9"/>
        <v>3.0984366892177588E-2</v>
      </c>
      <c r="H39" s="302">
        <f t="shared" si="9"/>
        <v>3.6914181659619454E-2</v>
      </c>
      <c r="K39" s="295">
        <f t="shared" si="10"/>
        <v>2.3900520264270613</v>
      </c>
      <c r="L39" s="295">
        <f t="shared" si="11"/>
        <v>3.0984366892177588</v>
      </c>
      <c r="M39" s="295">
        <f t="shared" si="12"/>
        <v>3.6914181659619452</v>
      </c>
    </row>
    <row r="40" spans="1:13" x14ac:dyDescent="0.2">
      <c r="A40" t="s">
        <v>60</v>
      </c>
      <c r="B40" s="301">
        <v>956.5</v>
      </c>
      <c r="C40" s="301">
        <v>171.65695561000001</v>
      </c>
      <c r="D40" s="301">
        <v>64.117520150000004</v>
      </c>
      <c r="E40" s="301">
        <v>61.158171189999997</v>
      </c>
      <c r="F40" s="302">
        <f t="shared" si="9"/>
        <v>0.1794636232200732</v>
      </c>
      <c r="G40" s="302">
        <f t="shared" si="9"/>
        <v>6.7033476372190287E-2</v>
      </c>
      <c r="H40" s="302">
        <f t="shared" si="9"/>
        <v>6.3939541233664396E-2</v>
      </c>
      <c r="K40" s="295">
        <f t="shared" si="10"/>
        <v>17.946362322007321</v>
      </c>
      <c r="L40" s="295">
        <f t="shared" si="11"/>
        <v>6.7033476372190286</v>
      </c>
      <c r="M40" s="295">
        <f t="shared" si="12"/>
        <v>6.3939541233664396</v>
      </c>
    </row>
    <row r="41" spans="1:13" x14ac:dyDescent="0.2">
      <c r="A41" t="s">
        <v>61</v>
      </c>
      <c r="B41" s="301">
        <v>2179.1999999999998</v>
      </c>
      <c r="C41" s="301">
        <v>45.018309159999994</v>
      </c>
      <c r="D41" s="301">
        <v>190.00717735000001</v>
      </c>
      <c r="E41" s="301">
        <v>164.34727938999998</v>
      </c>
      <c r="F41" s="302">
        <f t="shared" si="9"/>
        <v>2.0658181516152715E-2</v>
      </c>
      <c r="G41" s="302">
        <f t="shared" si="9"/>
        <v>8.7191252455029372E-2</v>
      </c>
      <c r="H41" s="302">
        <f t="shared" si="9"/>
        <v>7.5416335990271657E-2</v>
      </c>
      <c r="K41" s="295">
        <f t="shared" si="10"/>
        <v>2.0658181516152716</v>
      </c>
      <c r="L41" s="295">
        <f t="shared" si="11"/>
        <v>8.7191252455029371</v>
      </c>
      <c r="M41" s="295">
        <f t="shared" si="12"/>
        <v>7.5416335990271657</v>
      </c>
    </row>
    <row r="42" spans="1:13" x14ac:dyDescent="0.2">
      <c r="A42" t="s">
        <v>95</v>
      </c>
      <c r="B42" s="301">
        <v>1194.7</v>
      </c>
      <c r="C42" s="301">
        <v>46.343794759999994</v>
      </c>
      <c r="D42" s="301">
        <v>86.22996298000001</v>
      </c>
      <c r="E42" s="301">
        <v>107.83811281</v>
      </c>
      <c r="F42" s="302">
        <f t="shared" si="9"/>
        <v>3.8791156574872344E-2</v>
      </c>
      <c r="G42" s="302">
        <f t="shared" si="9"/>
        <v>7.2177084607014316E-2</v>
      </c>
      <c r="H42" s="302">
        <f t="shared" si="9"/>
        <v>9.0263758943667866E-2</v>
      </c>
      <c r="K42" s="295">
        <f t="shared" si="10"/>
        <v>3.8791156574872345</v>
      </c>
      <c r="L42" s="295">
        <f t="shared" si="11"/>
        <v>7.2177084607014317</v>
      </c>
      <c r="M42" s="295">
        <f t="shared" si="12"/>
        <v>9.0263758943667867</v>
      </c>
    </row>
    <row r="43" spans="1:13" x14ac:dyDescent="0.2">
      <c r="A43" t="s">
        <v>309</v>
      </c>
      <c r="B43" s="301">
        <v>158.6</v>
      </c>
      <c r="C43" s="301">
        <v>0.13991818</v>
      </c>
      <c r="D43" s="301">
        <v>0.40823544</v>
      </c>
      <c r="E43" s="301">
        <v>0.28731817999999998</v>
      </c>
      <c r="F43" s="302">
        <f t="shared" si="9"/>
        <v>8.8220794451450196E-4</v>
      </c>
      <c r="G43" s="302">
        <f t="shared" si="9"/>
        <v>2.5739939470365699E-3</v>
      </c>
      <c r="H43" s="302">
        <f t="shared" si="9"/>
        <v>1.8115900378310214E-3</v>
      </c>
      <c r="K43" s="295">
        <f t="shared" si="10"/>
        <v>8.8220794451450202E-2</v>
      </c>
      <c r="L43" s="295">
        <f t="shared" si="11"/>
        <v>0.25739939470365697</v>
      </c>
      <c r="M43" s="295">
        <f t="shared" si="12"/>
        <v>0.18115900378310212</v>
      </c>
    </row>
    <row r="44" spans="1:13" x14ac:dyDescent="0.2">
      <c r="A44" t="s">
        <v>96</v>
      </c>
      <c r="B44" s="301">
        <v>1174</v>
      </c>
      <c r="C44" s="301">
        <v>98.431983959999997</v>
      </c>
      <c r="D44" s="301">
        <v>69.351206950000005</v>
      </c>
      <c r="E44" s="301">
        <v>120.51654445</v>
      </c>
      <c r="F44" s="302">
        <f t="shared" si="9"/>
        <v>8.3843257206132879E-2</v>
      </c>
      <c r="G44" s="302">
        <f t="shared" si="9"/>
        <v>5.9072578321976155E-2</v>
      </c>
      <c r="H44" s="302">
        <f t="shared" si="9"/>
        <v>0.10265463752129472</v>
      </c>
      <c r="K44" s="295">
        <f t="shared" si="10"/>
        <v>8.3843257206132886</v>
      </c>
      <c r="L44" s="295">
        <f t="shared" si="11"/>
        <v>5.9072578321976152</v>
      </c>
      <c r="M44" s="295">
        <f t="shared" si="12"/>
        <v>10.265463752129472</v>
      </c>
    </row>
    <row r="45" spans="1:13" x14ac:dyDescent="0.2">
      <c r="A45" t="s">
        <v>97</v>
      </c>
      <c r="B45" s="301">
        <v>944.5</v>
      </c>
      <c r="C45" s="301">
        <v>24.208116820000001</v>
      </c>
      <c r="D45" s="301">
        <v>39.450353619999994</v>
      </c>
      <c r="E45" s="301">
        <v>53.9857662</v>
      </c>
      <c r="F45" s="302">
        <f t="shared" si="9"/>
        <v>2.5630616008470091E-2</v>
      </c>
      <c r="G45" s="302">
        <f t="shared" si="9"/>
        <v>4.1768505685547901E-2</v>
      </c>
      <c r="H45" s="302">
        <f t="shared" si="9"/>
        <v>5.7158037268395974E-2</v>
      </c>
      <c r="K45" s="295">
        <f t="shared" si="10"/>
        <v>2.5630616008470093</v>
      </c>
      <c r="L45" s="295">
        <f t="shared" si="11"/>
        <v>4.1768505685547899</v>
      </c>
      <c r="M45" s="295">
        <f t="shared" si="12"/>
        <v>5.7158037268395976</v>
      </c>
    </row>
    <row r="46" spans="1:13" x14ac:dyDescent="0.2">
      <c r="A46" t="s">
        <v>98</v>
      </c>
      <c r="B46" s="301">
        <v>2677</v>
      </c>
      <c r="C46" s="301">
        <v>98.06306859</v>
      </c>
      <c r="D46" s="301">
        <v>145.86278859999999</v>
      </c>
      <c r="E46" s="301">
        <v>157.27200128000001</v>
      </c>
      <c r="F46" s="302">
        <f t="shared" si="9"/>
        <v>3.6631702872618604E-2</v>
      </c>
      <c r="G46" s="302">
        <f t="shared" si="9"/>
        <v>5.4487407022786698E-2</v>
      </c>
      <c r="H46" s="302">
        <f t="shared" si="9"/>
        <v>5.8749346761299968E-2</v>
      </c>
      <c r="K46" s="295">
        <f t="shared" si="10"/>
        <v>3.6631702872618606</v>
      </c>
      <c r="L46" s="295">
        <f t="shared" si="11"/>
        <v>5.4487407022786698</v>
      </c>
      <c r="M46" s="295">
        <f t="shared" si="12"/>
        <v>5.874934676129997</v>
      </c>
    </row>
    <row r="47" spans="1:13" x14ac:dyDescent="0.2">
      <c r="A47" t="s">
        <v>99</v>
      </c>
      <c r="B47" s="301">
        <v>558.4</v>
      </c>
      <c r="C47" s="301">
        <v>34.869565479999999</v>
      </c>
      <c r="D47" s="301">
        <v>58.10698549</v>
      </c>
      <c r="E47" s="301">
        <v>75.476165980000005</v>
      </c>
      <c r="F47" s="302">
        <f t="shared" si="9"/>
        <v>6.2445496919770777E-2</v>
      </c>
      <c r="G47" s="302">
        <f t="shared" si="9"/>
        <v>0.10405978776862465</v>
      </c>
      <c r="H47" s="302">
        <f t="shared" si="9"/>
        <v>0.13516505368911177</v>
      </c>
      <c r="K47" s="295">
        <f t="shared" si="10"/>
        <v>6.2445496919770775</v>
      </c>
      <c r="L47" s="295">
        <f t="shared" si="11"/>
        <v>10.405978776862465</v>
      </c>
      <c r="M47" s="295">
        <f t="shared" si="12"/>
        <v>13.516505368911178</v>
      </c>
    </row>
    <row r="48" spans="1:13" x14ac:dyDescent="0.2">
      <c r="A48" t="s">
        <v>100</v>
      </c>
      <c r="B48" s="301">
        <v>922.6</v>
      </c>
      <c r="C48" s="301">
        <v>29.233669809999999</v>
      </c>
      <c r="D48" s="301">
        <v>77.496678129999992</v>
      </c>
      <c r="E48" s="301">
        <v>83.752173400000004</v>
      </c>
      <c r="F48" s="302">
        <f t="shared" si="9"/>
        <v>3.1686180153912856E-2</v>
      </c>
      <c r="G48" s="302">
        <f t="shared" si="9"/>
        <v>8.3998133676566222E-2</v>
      </c>
      <c r="H48" s="302">
        <f t="shared" si="9"/>
        <v>9.0778423368740521E-2</v>
      </c>
      <c r="K48" s="295">
        <f t="shared" si="10"/>
        <v>3.1686180153912855</v>
      </c>
      <c r="L48" s="295">
        <f t="shared" si="11"/>
        <v>8.3998133676566216</v>
      </c>
      <c r="M48" s="295">
        <f t="shared" si="12"/>
        <v>9.0778423368740526</v>
      </c>
    </row>
    <row r="49" spans="1:13" x14ac:dyDescent="0.2">
      <c r="A49" t="s">
        <v>101</v>
      </c>
      <c r="B49" s="301">
        <v>1212.5999999999999</v>
      </c>
      <c r="C49" s="301">
        <v>47.484092329999996</v>
      </c>
      <c r="D49" s="301">
        <v>121.30787221</v>
      </c>
      <c r="E49" s="301">
        <v>135.65466127000002</v>
      </c>
      <c r="F49" s="302">
        <f t="shared" si="9"/>
        <v>3.9158908403430642E-2</v>
      </c>
      <c r="G49" s="302">
        <f t="shared" si="9"/>
        <v>0.10003947897905328</v>
      </c>
      <c r="H49" s="302">
        <f t="shared" si="9"/>
        <v>0.11187090653966686</v>
      </c>
      <c r="K49" s="295">
        <f t="shared" si="10"/>
        <v>3.9158908403430641</v>
      </c>
      <c r="L49" s="295">
        <f t="shared" si="11"/>
        <v>10.003947897905329</v>
      </c>
      <c r="M49" s="295">
        <f t="shared" si="12"/>
        <v>11.187090653966687</v>
      </c>
    </row>
    <row r="50" spans="1:13" x14ac:dyDescent="0.2">
      <c r="A50" t="s">
        <v>102</v>
      </c>
      <c r="B50" s="301">
        <v>1544.6</v>
      </c>
      <c r="C50" s="301">
        <v>113.61816716</v>
      </c>
      <c r="D50" s="301">
        <v>120.47807534</v>
      </c>
      <c r="E50" s="301">
        <v>91.038427510000005</v>
      </c>
      <c r="F50" s="302">
        <f t="shared" si="9"/>
        <v>7.355831099313738E-2</v>
      </c>
      <c r="G50" s="302">
        <f t="shared" si="9"/>
        <v>7.799953084293669E-2</v>
      </c>
      <c r="H50" s="302">
        <f t="shared" si="9"/>
        <v>5.8939808047390914E-2</v>
      </c>
      <c r="K50" s="295">
        <f t="shared" si="10"/>
        <v>7.3558310993137379</v>
      </c>
      <c r="L50" s="295">
        <f t="shared" si="11"/>
        <v>7.7999530842936693</v>
      </c>
      <c r="M50" s="295">
        <f t="shared" si="12"/>
        <v>5.8939808047390914</v>
      </c>
    </row>
    <row r="51" spans="1:13" x14ac:dyDescent="0.2">
      <c r="A51" t="s">
        <v>103</v>
      </c>
      <c r="B51" s="301">
        <v>734.6</v>
      </c>
      <c r="C51" s="301">
        <v>32.155414710000002</v>
      </c>
      <c r="D51" s="301">
        <v>51.281239079999999</v>
      </c>
      <c r="E51" s="301">
        <v>114.18007641</v>
      </c>
      <c r="F51" s="302">
        <f t="shared" si="9"/>
        <v>4.3772685420637086E-2</v>
      </c>
      <c r="G51" s="302">
        <f t="shared" si="9"/>
        <v>6.9808384263544784E-2</v>
      </c>
      <c r="H51" s="302">
        <f t="shared" si="9"/>
        <v>0.15543163137762048</v>
      </c>
      <c r="K51" s="295">
        <f t="shared" si="10"/>
        <v>4.3772685420637085</v>
      </c>
      <c r="L51" s="295">
        <f t="shared" si="11"/>
        <v>6.9808384263544783</v>
      </c>
      <c r="M51" s="295">
        <f t="shared" si="12"/>
        <v>15.543163137762047</v>
      </c>
    </row>
    <row r="52" spans="1:13" x14ac:dyDescent="0.2">
      <c r="A52" t="s">
        <v>62</v>
      </c>
      <c r="B52" s="301">
        <v>788.6</v>
      </c>
      <c r="C52" s="301">
        <v>30.064497600000003</v>
      </c>
      <c r="D52" s="301">
        <v>43.885229369999998</v>
      </c>
      <c r="E52" s="301">
        <v>59.168016109999996</v>
      </c>
      <c r="F52" s="302">
        <f t="shared" si="9"/>
        <v>3.8123887395384227E-2</v>
      </c>
      <c r="G52" s="302">
        <f t="shared" si="9"/>
        <v>5.5649542695916807E-2</v>
      </c>
      <c r="H52" s="302">
        <f t="shared" si="9"/>
        <v>7.5029186038549328E-2</v>
      </c>
      <c r="K52" s="295">
        <f t="shared" si="10"/>
        <v>3.8123887395384228</v>
      </c>
      <c r="L52" s="295">
        <f t="shared" si="11"/>
        <v>5.5649542695916807</v>
      </c>
      <c r="M52" s="295">
        <f t="shared" si="12"/>
        <v>7.5029186038549325</v>
      </c>
    </row>
    <row r="53" spans="1:13" x14ac:dyDescent="0.2">
      <c r="A53" t="s">
        <v>104</v>
      </c>
      <c r="B53" s="301">
        <v>1257.3</v>
      </c>
      <c r="C53" s="301">
        <v>47.983404579999998</v>
      </c>
      <c r="D53" s="301">
        <v>70.482748049999998</v>
      </c>
      <c r="E53" s="301">
        <v>95.753178459999987</v>
      </c>
      <c r="F53" s="302">
        <f t="shared" si="9"/>
        <v>3.8163846798695618E-2</v>
      </c>
      <c r="G53" s="302">
        <f t="shared" si="9"/>
        <v>5.6058814960629921E-2</v>
      </c>
      <c r="H53" s="302">
        <f t="shared" si="9"/>
        <v>7.6157781325061638E-2</v>
      </c>
      <c r="K53" s="295">
        <f t="shared" si="10"/>
        <v>3.8163846798695618</v>
      </c>
      <c r="L53" s="295">
        <f t="shared" si="11"/>
        <v>5.6058814960629917</v>
      </c>
      <c r="M53" s="295">
        <f t="shared" si="12"/>
        <v>7.615778132506164</v>
      </c>
    </row>
    <row r="54" spans="1:13" x14ac:dyDescent="0.2">
      <c r="A54" t="s">
        <v>105</v>
      </c>
      <c r="B54" s="301">
        <v>2540.9</v>
      </c>
      <c r="C54" s="301">
        <v>126.44367176999999</v>
      </c>
      <c r="D54" s="301">
        <v>151.28794522000001</v>
      </c>
      <c r="E54" s="301">
        <v>174.03476334999999</v>
      </c>
      <c r="F54" s="302">
        <f t="shared" si="9"/>
        <v>4.976334045810539E-2</v>
      </c>
      <c r="G54" s="302">
        <f t="shared" si="9"/>
        <v>5.9541085922310992E-2</v>
      </c>
      <c r="H54" s="302">
        <f t="shared" si="9"/>
        <v>6.8493354067456408E-2</v>
      </c>
      <c r="K54" s="295">
        <f t="shared" si="10"/>
        <v>4.976334045810539</v>
      </c>
      <c r="L54" s="295">
        <f t="shared" si="11"/>
        <v>5.9541085922310995</v>
      </c>
      <c r="M54" s="295">
        <f t="shared" si="12"/>
        <v>6.8493354067456407</v>
      </c>
    </row>
    <row r="55" spans="1:13" x14ac:dyDescent="0.2">
      <c r="A55" t="s">
        <v>106</v>
      </c>
      <c r="B55" s="301">
        <v>703.2</v>
      </c>
      <c r="C55" s="301">
        <v>28.564258629999998</v>
      </c>
      <c r="D55" s="301">
        <v>38.096262170000003</v>
      </c>
      <c r="E55" s="301">
        <v>39.793393950000002</v>
      </c>
      <c r="F55" s="302">
        <f t="shared" si="9"/>
        <v>4.0620390543230939E-2</v>
      </c>
      <c r="G55" s="302">
        <f t="shared" si="9"/>
        <v>5.4175571914106942E-2</v>
      </c>
      <c r="H55" s="302">
        <f t="shared" si="9"/>
        <v>5.658901301194539E-2</v>
      </c>
      <c r="K55" s="295">
        <f t="shared" si="10"/>
        <v>4.062039054323094</v>
      </c>
      <c r="L55" s="295">
        <f t="shared" si="11"/>
        <v>5.4175571914106939</v>
      </c>
      <c r="M55" s="295">
        <f t="shared" si="12"/>
        <v>5.6589013011945388</v>
      </c>
    </row>
    <row r="56" spans="1:13" x14ac:dyDescent="0.2">
      <c r="A56" t="s">
        <v>107</v>
      </c>
      <c r="B56" s="301">
        <v>939.7</v>
      </c>
      <c r="C56" s="301">
        <v>26.82468978</v>
      </c>
      <c r="D56" s="301">
        <v>76.999926200000004</v>
      </c>
      <c r="E56" s="301">
        <v>109.81440273999999</v>
      </c>
      <c r="F56" s="302">
        <f t="shared" si="9"/>
        <v>2.8546014451420666E-2</v>
      </c>
      <c r="G56" s="302">
        <f t="shared" si="9"/>
        <v>8.1940966478663405E-2</v>
      </c>
      <c r="H56" s="302">
        <f t="shared" si="9"/>
        <v>0.11686112880706608</v>
      </c>
      <c r="K56" s="295">
        <f t="shared" si="10"/>
        <v>2.8546014451420665</v>
      </c>
      <c r="L56" s="295">
        <f t="shared" si="11"/>
        <v>8.1940966478663402</v>
      </c>
      <c r="M56" s="295">
        <f t="shared" si="12"/>
        <v>11.686112880706608</v>
      </c>
    </row>
    <row r="57" spans="1:13" x14ac:dyDescent="0.2">
      <c r="A57" t="s">
        <v>108</v>
      </c>
      <c r="B57" s="301">
        <v>757.7</v>
      </c>
      <c r="C57" s="301">
        <v>30.006890469999998</v>
      </c>
      <c r="D57" s="301">
        <v>44.988059540000002</v>
      </c>
      <c r="E57" s="301">
        <v>58.719135969999996</v>
      </c>
      <c r="F57" s="302">
        <f t="shared" si="9"/>
        <v>3.9602600593902595E-2</v>
      </c>
      <c r="G57" s="302">
        <f t="shared" si="9"/>
        <v>5.9374501174607366E-2</v>
      </c>
      <c r="H57" s="302">
        <f t="shared" si="9"/>
        <v>7.7496550046192408E-2</v>
      </c>
      <c r="K57" s="295">
        <f t="shared" si="10"/>
        <v>3.9602600593902597</v>
      </c>
      <c r="L57" s="295">
        <f t="shared" si="11"/>
        <v>5.9374501174607364</v>
      </c>
      <c r="M57" s="295">
        <f t="shared" si="12"/>
        <v>7.7496550046192407</v>
      </c>
    </row>
    <row r="58" spans="1:13" x14ac:dyDescent="0.2">
      <c r="A58" t="s">
        <v>109</v>
      </c>
      <c r="B58" s="301">
        <v>385.8</v>
      </c>
      <c r="C58" s="301">
        <v>14.60657026</v>
      </c>
      <c r="D58" s="301">
        <v>24.12341232</v>
      </c>
      <c r="E58" s="301">
        <v>50.36847659</v>
      </c>
      <c r="F58" s="302">
        <f t="shared" si="9"/>
        <v>3.7860472420943495E-2</v>
      </c>
      <c r="G58" s="302">
        <f t="shared" si="9"/>
        <v>6.2528284914463453E-2</v>
      </c>
      <c r="H58" s="302">
        <f t="shared" si="9"/>
        <v>0.13055592687921203</v>
      </c>
      <c r="K58" s="295">
        <f t="shared" si="10"/>
        <v>3.7860472420943494</v>
      </c>
      <c r="L58" s="295">
        <f t="shared" si="11"/>
        <v>6.252828491446345</v>
      </c>
      <c r="M58" s="295">
        <f t="shared" si="12"/>
        <v>13.055592687921202</v>
      </c>
    </row>
    <row r="59" spans="1:13" x14ac:dyDescent="0.2">
      <c r="A59" t="s">
        <v>110</v>
      </c>
      <c r="B59" s="301">
        <v>2463.9</v>
      </c>
      <c r="C59" s="301">
        <v>88.345711569999992</v>
      </c>
      <c r="D59" s="301">
        <v>131.04492736</v>
      </c>
      <c r="E59" s="301">
        <v>141.05454356999999</v>
      </c>
      <c r="F59" s="302">
        <f t="shared" si="9"/>
        <v>3.5856045931247207E-2</v>
      </c>
      <c r="G59" s="302">
        <f t="shared" si="9"/>
        <v>5.3185976443849182E-2</v>
      </c>
      <c r="H59" s="302">
        <f t="shared" si="9"/>
        <v>5.7248485559478868E-2</v>
      </c>
      <c r="K59" s="295">
        <f t="shared" si="10"/>
        <v>3.5856045931247209</v>
      </c>
      <c r="L59" s="295">
        <f t="shared" si="11"/>
        <v>5.3185976443849183</v>
      </c>
      <c r="M59" s="295">
        <f t="shared" si="12"/>
        <v>5.7248485559478866</v>
      </c>
    </row>
    <row r="60" spans="1:13" x14ac:dyDescent="0.2">
      <c r="A60" t="s">
        <v>111</v>
      </c>
      <c r="B60" s="301">
        <v>1847</v>
      </c>
      <c r="C60" s="301">
        <v>57.417310280000002</v>
      </c>
      <c r="D60" s="301">
        <v>113.32283720999999</v>
      </c>
      <c r="E60" s="301">
        <v>138.51018661000001</v>
      </c>
      <c r="F60" s="302">
        <f t="shared" si="9"/>
        <v>3.1086794953979428E-2</v>
      </c>
      <c r="G60" s="302">
        <f t="shared" si="9"/>
        <v>6.1355082409312395E-2</v>
      </c>
      <c r="H60" s="302">
        <f t="shared" si="9"/>
        <v>7.4991979756361668E-2</v>
      </c>
      <c r="K60" s="295">
        <f t="shared" si="10"/>
        <v>3.1086794953979426</v>
      </c>
      <c r="L60" s="295">
        <f t="shared" si="11"/>
        <v>6.1355082409312391</v>
      </c>
      <c r="M60" s="295">
        <f t="shared" si="12"/>
        <v>7.4991979756361671</v>
      </c>
    </row>
    <row r="61" spans="1:13" x14ac:dyDescent="0.2">
      <c r="A61" t="s">
        <v>112</v>
      </c>
      <c r="B61" s="301">
        <v>1256.3</v>
      </c>
      <c r="C61" s="301">
        <v>46.501330109999998</v>
      </c>
      <c r="D61" s="301">
        <v>69.749282440000002</v>
      </c>
      <c r="E61" s="301">
        <v>91.040293050000002</v>
      </c>
      <c r="F61" s="302">
        <f t="shared" si="9"/>
        <v>3.7014510952797897E-2</v>
      </c>
      <c r="G61" s="302">
        <f t="shared" si="9"/>
        <v>5.5519607132054449E-2</v>
      </c>
      <c r="H61" s="302">
        <f t="shared" si="9"/>
        <v>7.246700075618881E-2</v>
      </c>
      <c r="K61" s="295">
        <f t="shared" si="10"/>
        <v>3.7014510952797899</v>
      </c>
      <c r="L61" s="295">
        <f t="shared" si="11"/>
        <v>5.5519607132054452</v>
      </c>
      <c r="M61" s="295">
        <f t="shared" si="12"/>
        <v>7.2467000756188806</v>
      </c>
    </row>
    <row r="62" spans="1:13" x14ac:dyDescent="0.2">
      <c r="A62" t="s">
        <v>63</v>
      </c>
      <c r="B62" s="301">
        <v>742.4</v>
      </c>
      <c r="C62" s="301">
        <v>28.444622949999999</v>
      </c>
      <c r="D62" s="301">
        <v>38.630026659999999</v>
      </c>
      <c r="E62" s="301">
        <v>87.691395400000005</v>
      </c>
      <c r="F62" s="302">
        <f t="shared" si="9"/>
        <v>3.8314416689116379E-2</v>
      </c>
      <c r="G62" s="302">
        <f t="shared" si="9"/>
        <v>5.2033979876077587E-2</v>
      </c>
      <c r="H62" s="302">
        <f t="shared" si="9"/>
        <v>0.11811879768318967</v>
      </c>
      <c r="K62" s="295">
        <f t="shared" si="10"/>
        <v>3.831441668911638</v>
      </c>
      <c r="L62" s="295">
        <f t="shared" si="11"/>
        <v>5.203397987607759</v>
      </c>
      <c r="M62" s="295">
        <f t="shared" si="12"/>
        <v>11.811879768318967</v>
      </c>
    </row>
    <row r="63" spans="1:13" x14ac:dyDescent="0.2">
      <c r="A63" t="s">
        <v>64</v>
      </c>
      <c r="B63" s="301">
        <v>540.4</v>
      </c>
      <c r="C63" s="301">
        <v>36.651004159999999</v>
      </c>
      <c r="D63" s="301">
        <v>38.662138829999996</v>
      </c>
      <c r="E63" s="301">
        <v>42.343858679999997</v>
      </c>
      <c r="F63" s="302">
        <f t="shared" si="9"/>
        <v>6.7821991413767588E-2</v>
      </c>
      <c r="G63" s="302">
        <f t="shared" si="9"/>
        <v>7.1543558160621759E-2</v>
      </c>
      <c r="H63" s="302">
        <f t="shared" si="9"/>
        <v>7.8356511250925243E-2</v>
      </c>
      <c r="K63" s="295">
        <f t="shared" si="10"/>
        <v>6.7821991413767586</v>
      </c>
      <c r="L63" s="295">
        <f t="shared" si="11"/>
        <v>7.1543558160621759</v>
      </c>
      <c r="M63" s="295">
        <f t="shared" si="12"/>
        <v>7.8356511250925243</v>
      </c>
    </row>
    <row r="64" spans="1:13" x14ac:dyDescent="0.2">
      <c r="A64" t="s">
        <v>113</v>
      </c>
      <c r="B64" s="301">
        <v>1131.5</v>
      </c>
      <c r="C64" s="301">
        <v>45.939500350000003</v>
      </c>
      <c r="D64" s="301">
        <v>78.407743430000011</v>
      </c>
      <c r="E64" s="301">
        <v>213.08313025999999</v>
      </c>
      <c r="F64" s="302">
        <f t="shared" si="9"/>
        <v>4.0600530578877601E-2</v>
      </c>
      <c r="G64" s="302">
        <f t="shared" si="9"/>
        <v>6.9295398524083091E-2</v>
      </c>
      <c r="H64" s="302">
        <f t="shared" si="9"/>
        <v>0.18831916063632345</v>
      </c>
      <c r="K64" s="295">
        <f t="shared" si="10"/>
        <v>4.0600530578877603</v>
      </c>
      <c r="L64" s="295">
        <f t="shared" si="11"/>
        <v>6.9295398524083094</v>
      </c>
      <c r="M64" s="295">
        <f t="shared" si="12"/>
        <v>18.831916063632345</v>
      </c>
    </row>
    <row r="65" spans="1:13" x14ac:dyDescent="0.2">
      <c r="A65" t="s">
        <v>114</v>
      </c>
      <c r="B65" s="301">
        <v>1319.5</v>
      </c>
      <c r="C65" s="301">
        <v>44.087454479999998</v>
      </c>
      <c r="D65" s="301">
        <v>74.529338590000009</v>
      </c>
      <c r="E65" s="301">
        <v>67.136538340000001</v>
      </c>
      <c r="F65" s="302">
        <f t="shared" si="9"/>
        <v>3.3412242879878741E-2</v>
      </c>
      <c r="G65" s="302">
        <f t="shared" si="9"/>
        <v>5.64830152254642E-2</v>
      </c>
      <c r="H65" s="302">
        <f t="shared" si="9"/>
        <v>5.0880286729821901E-2</v>
      </c>
      <c r="K65" s="295">
        <f t="shared" si="10"/>
        <v>3.341224287987874</v>
      </c>
      <c r="L65" s="295">
        <f t="shared" si="11"/>
        <v>5.6483015225464204</v>
      </c>
      <c r="M65" s="295">
        <f t="shared" si="12"/>
        <v>5.0880286729821904</v>
      </c>
    </row>
    <row r="66" spans="1:13" x14ac:dyDescent="0.2">
      <c r="A66" t="s">
        <v>65</v>
      </c>
      <c r="B66" s="301">
        <v>1760.8</v>
      </c>
      <c r="C66" s="301">
        <v>63.558782700000002</v>
      </c>
      <c r="D66" s="301">
        <v>147.18022024000001</v>
      </c>
      <c r="E66" s="301">
        <v>181.05239836999999</v>
      </c>
      <c r="F66" s="302">
        <f t="shared" si="9"/>
        <v>3.6096537199000453E-2</v>
      </c>
      <c r="G66" s="302">
        <f t="shared" si="9"/>
        <v>8.3587130985915498E-2</v>
      </c>
      <c r="H66" s="302">
        <f t="shared" si="9"/>
        <v>0.10282394273625625</v>
      </c>
      <c r="K66" s="295">
        <f t="shared" si="10"/>
        <v>3.6096537199000451</v>
      </c>
      <c r="L66" s="295">
        <f t="shared" si="11"/>
        <v>8.358713098591549</v>
      </c>
      <c r="M66" s="295">
        <f t="shared" si="12"/>
        <v>10.282394273625625</v>
      </c>
    </row>
    <row r="67" spans="1:13" x14ac:dyDescent="0.2">
      <c r="A67" t="s">
        <v>115</v>
      </c>
      <c r="B67" s="301">
        <v>2549.4</v>
      </c>
      <c r="C67" s="301">
        <v>111.64934864</v>
      </c>
      <c r="D67" s="301">
        <v>219.28005655999999</v>
      </c>
      <c r="E67" s="301">
        <v>287.29032011000004</v>
      </c>
      <c r="F67" s="302">
        <f t="shared" si="9"/>
        <v>4.3794362846159882E-2</v>
      </c>
      <c r="G67" s="302">
        <f t="shared" si="9"/>
        <v>8.6012417258962887E-2</v>
      </c>
      <c r="H67" s="302">
        <f t="shared" si="9"/>
        <v>0.11268938578096808</v>
      </c>
      <c r="K67" s="295">
        <f t="shared" si="10"/>
        <v>4.3794362846159878</v>
      </c>
      <c r="L67" s="295">
        <f t="shared" si="11"/>
        <v>8.6012417258962888</v>
      </c>
      <c r="M67" s="295">
        <f t="shared" si="12"/>
        <v>11.268938578096808</v>
      </c>
    </row>
    <row r="68" spans="1:13" x14ac:dyDescent="0.2">
      <c r="A68" t="s">
        <v>116</v>
      </c>
      <c r="B68" s="301">
        <v>933.2</v>
      </c>
      <c r="C68" s="301">
        <v>46.159271320000002</v>
      </c>
      <c r="D68" s="301">
        <v>81.941630430000004</v>
      </c>
      <c r="E68" s="301">
        <v>69.111334769999999</v>
      </c>
      <c r="F68" s="302">
        <f t="shared" si="9"/>
        <v>4.9463428332618943E-2</v>
      </c>
      <c r="G68" s="302">
        <f t="shared" si="9"/>
        <v>8.7807147910415773E-2</v>
      </c>
      <c r="H68" s="302">
        <f t="shared" si="9"/>
        <v>7.4058438459065581E-2</v>
      </c>
      <c r="K68" s="295">
        <f t="shared" si="10"/>
        <v>4.9463428332618946</v>
      </c>
      <c r="L68" s="295">
        <f t="shared" si="11"/>
        <v>8.7807147910415768</v>
      </c>
      <c r="M68" s="295">
        <f t="shared" si="12"/>
        <v>7.4058438459065581</v>
      </c>
    </row>
    <row r="69" spans="1:13" x14ac:dyDescent="0.2">
      <c r="A69" t="s">
        <v>117</v>
      </c>
      <c r="B69" s="301">
        <v>571.6</v>
      </c>
      <c r="C69" s="301">
        <v>21.650028129999999</v>
      </c>
      <c r="D69" s="301">
        <v>31.946594999999999</v>
      </c>
      <c r="E69" s="301">
        <v>30.921454319999999</v>
      </c>
      <c r="F69" s="302">
        <f t="shared" si="9"/>
        <v>3.7876186371588523E-2</v>
      </c>
      <c r="G69" s="302">
        <f t="shared" si="9"/>
        <v>5.5889774317704685E-2</v>
      </c>
      <c r="H69" s="302">
        <f t="shared" si="9"/>
        <v>5.4096316165150447E-2</v>
      </c>
      <c r="K69" s="295">
        <f t="shared" si="10"/>
        <v>3.7876186371588525</v>
      </c>
      <c r="L69" s="295">
        <f t="shared" si="11"/>
        <v>5.5889774317704681</v>
      </c>
      <c r="M69" s="295">
        <f t="shared" si="12"/>
        <v>5.4096316165150444</v>
      </c>
    </row>
    <row r="70" spans="1:13" x14ac:dyDescent="0.2">
      <c r="A70" t="s">
        <v>118</v>
      </c>
      <c r="B70" s="301">
        <v>871</v>
      </c>
      <c r="C70" s="301">
        <v>44.808239409999999</v>
      </c>
      <c r="D70" s="301">
        <v>67.289988290000011</v>
      </c>
      <c r="E70" s="301">
        <v>51.11101961</v>
      </c>
      <c r="F70" s="302">
        <f t="shared" si="9"/>
        <v>5.1444591745120546E-2</v>
      </c>
      <c r="G70" s="302">
        <f t="shared" si="9"/>
        <v>7.7256014110218152E-2</v>
      </c>
      <c r="H70" s="302">
        <f t="shared" si="9"/>
        <v>5.8680849150401837E-2</v>
      </c>
      <c r="K70" s="295">
        <f t="shared" si="10"/>
        <v>5.1444591745120549</v>
      </c>
      <c r="L70" s="295">
        <f t="shared" si="11"/>
        <v>7.725601411021815</v>
      </c>
      <c r="M70" s="295">
        <f t="shared" si="12"/>
        <v>5.8680849150401837</v>
      </c>
    </row>
    <row r="71" spans="1:13" x14ac:dyDescent="0.2">
      <c r="A71" t="s">
        <v>119</v>
      </c>
      <c r="B71" s="301">
        <v>595.5</v>
      </c>
      <c r="C71" s="301">
        <v>19.669319850000001</v>
      </c>
      <c r="D71" s="301">
        <v>39.180164240000003</v>
      </c>
      <c r="E71" s="301">
        <v>48.780334859999996</v>
      </c>
      <c r="F71" s="302">
        <f t="shared" si="9"/>
        <v>3.30299241813602E-2</v>
      </c>
      <c r="G71" s="302">
        <f t="shared" si="9"/>
        <v>6.5793726683459286E-2</v>
      </c>
      <c r="H71" s="302">
        <f t="shared" si="9"/>
        <v>8.1914919999999988E-2</v>
      </c>
      <c r="K71" s="295">
        <f t="shared" si="10"/>
        <v>3.3029924181360202</v>
      </c>
      <c r="L71" s="295">
        <f t="shared" si="11"/>
        <v>6.579372668345929</v>
      </c>
      <c r="M71" s="295">
        <f t="shared" si="12"/>
        <v>8.1914919999999984</v>
      </c>
    </row>
    <row r="72" spans="1:13" x14ac:dyDescent="0.2">
      <c r="A72" t="s">
        <v>120</v>
      </c>
      <c r="B72" s="301">
        <v>469.8</v>
      </c>
      <c r="C72" s="301">
        <v>40.833927689999996</v>
      </c>
      <c r="D72" s="301">
        <v>25.48973561</v>
      </c>
      <c r="E72" s="301">
        <v>32.739075989999996</v>
      </c>
      <c r="F72" s="302">
        <f t="shared" si="9"/>
        <v>8.6917683461047238E-2</v>
      </c>
      <c r="G72" s="302">
        <f t="shared" si="9"/>
        <v>5.4256567922520219E-2</v>
      </c>
      <c r="H72" s="302">
        <f t="shared" si="9"/>
        <v>6.9687262643678152E-2</v>
      </c>
      <c r="K72" s="295">
        <f t="shared" si="10"/>
        <v>8.6917683461047233</v>
      </c>
      <c r="L72" s="295">
        <f t="shared" si="11"/>
        <v>5.4256567922520222</v>
      </c>
      <c r="M72" s="295">
        <f t="shared" si="12"/>
        <v>6.9687262643678149</v>
      </c>
    </row>
    <row r="73" spans="1:13" x14ac:dyDescent="0.2">
      <c r="A73" t="s">
        <v>121</v>
      </c>
      <c r="B73" s="301">
        <v>591.1</v>
      </c>
      <c r="C73" s="301">
        <v>30.509185890000001</v>
      </c>
      <c r="D73" s="301">
        <v>52.060896100000001</v>
      </c>
      <c r="E73" s="301">
        <v>76.473891819999992</v>
      </c>
      <c r="F73" s="302">
        <f t="shared" si="9"/>
        <v>5.1614254593131452E-2</v>
      </c>
      <c r="G73" s="302">
        <f t="shared" si="9"/>
        <v>8.8074600067670442E-2</v>
      </c>
      <c r="H73" s="302">
        <f t="shared" si="9"/>
        <v>0.12937555713077312</v>
      </c>
      <c r="K73" s="295">
        <f t="shared" si="10"/>
        <v>5.1614254593131452</v>
      </c>
      <c r="L73" s="295">
        <f t="shared" si="11"/>
        <v>8.8074600067670445</v>
      </c>
      <c r="M73" s="295">
        <f t="shared" si="12"/>
        <v>12.937555713077312</v>
      </c>
    </row>
    <row r="74" spans="1:13" x14ac:dyDescent="0.2">
      <c r="A74" t="s">
        <v>122</v>
      </c>
      <c r="B74" s="301">
        <v>778.1</v>
      </c>
      <c r="C74" s="301">
        <v>27.854859870000002</v>
      </c>
      <c r="D74" s="301">
        <v>51.252431340000001</v>
      </c>
      <c r="E74" s="301">
        <v>109.23955855</v>
      </c>
      <c r="F74" s="302">
        <f t="shared" si="9"/>
        <v>3.5798560429250739E-2</v>
      </c>
      <c r="G74" s="302">
        <f t="shared" si="9"/>
        <v>6.5868694692198942E-2</v>
      </c>
      <c r="H74" s="302">
        <f t="shared" si="9"/>
        <v>0.14039269830355994</v>
      </c>
      <c r="K74" s="295">
        <f t="shared" si="10"/>
        <v>3.5798560429250741</v>
      </c>
      <c r="L74" s="295">
        <f t="shared" si="11"/>
        <v>6.5868694692198941</v>
      </c>
      <c r="M74" s="295">
        <f t="shared" si="12"/>
        <v>14.039269830355995</v>
      </c>
    </row>
    <row r="75" spans="1:13" x14ac:dyDescent="0.2">
      <c r="A75" t="s">
        <v>123</v>
      </c>
      <c r="B75" s="301">
        <v>2436.3000000000002</v>
      </c>
      <c r="C75" s="301">
        <v>81.077236900000003</v>
      </c>
      <c r="D75" s="301">
        <v>156.80288196000001</v>
      </c>
      <c r="E75" s="301">
        <v>274.08622882999998</v>
      </c>
      <c r="F75" s="302">
        <f t="shared" si="9"/>
        <v>3.3278839592825182E-2</v>
      </c>
      <c r="G75" s="302">
        <f t="shared" si="9"/>
        <v>6.4361072922053938E-2</v>
      </c>
      <c r="H75" s="302">
        <f t="shared" si="9"/>
        <v>0.11250101745679923</v>
      </c>
      <c r="K75" s="295">
        <f t="shared" si="10"/>
        <v>3.3278839592825182</v>
      </c>
      <c r="L75" s="295">
        <f t="shared" si="11"/>
        <v>6.4361072922053939</v>
      </c>
      <c r="M75" s="295">
        <f t="shared" si="12"/>
        <v>11.250101745679924</v>
      </c>
    </row>
    <row r="76" spans="1:13" x14ac:dyDescent="0.2">
      <c r="A76" t="s">
        <v>124</v>
      </c>
      <c r="B76" s="301">
        <v>928.3</v>
      </c>
      <c r="C76" s="301">
        <v>37.064550950000005</v>
      </c>
      <c r="D76" s="301">
        <v>65.501826679999994</v>
      </c>
      <c r="E76" s="301">
        <v>114.97591522</v>
      </c>
      <c r="F76" s="302">
        <f t="shared" si="9"/>
        <v>3.9927341322848225E-2</v>
      </c>
      <c r="G76" s="302">
        <f t="shared" si="9"/>
        <v>7.0561054271248522E-2</v>
      </c>
      <c r="H76" s="302">
        <f t="shared" si="9"/>
        <v>0.12385642057524508</v>
      </c>
      <c r="K76" s="295">
        <f t="shared" si="10"/>
        <v>3.9927341322848227</v>
      </c>
      <c r="L76" s="295">
        <f t="shared" si="11"/>
        <v>7.0561054271248524</v>
      </c>
      <c r="M76" s="295">
        <f t="shared" si="12"/>
        <v>12.385642057524509</v>
      </c>
    </row>
    <row r="77" spans="1:13" x14ac:dyDescent="0.2">
      <c r="A77" t="s">
        <v>125</v>
      </c>
      <c r="B77" s="301">
        <v>1175.0999999999999</v>
      </c>
      <c r="C77" s="301">
        <v>37.3985305</v>
      </c>
      <c r="D77" s="301">
        <v>60.398251189999996</v>
      </c>
      <c r="E77" s="301">
        <v>132.74467536</v>
      </c>
      <c r="F77" s="302">
        <f t="shared" si="9"/>
        <v>3.1825828014637056E-2</v>
      </c>
      <c r="G77" s="302">
        <f t="shared" si="9"/>
        <v>5.1398392638924345E-2</v>
      </c>
      <c r="H77" s="302">
        <f t="shared" si="9"/>
        <v>0.11296457778912435</v>
      </c>
      <c r="K77" s="295">
        <f t="shared" si="10"/>
        <v>3.1825828014637056</v>
      </c>
      <c r="L77" s="295">
        <f t="shared" si="11"/>
        <v>5.1398392638924344</v>
      </c>
      <c r="M77" s="295">
        <f t="shared" si="12"/>
        <v>11.296457778912435</v>
      </c>
    </row>
    <row r="78" spans="1:13" x14ac:dyDescent="0.2">
      <c r="A78" t="s">
        <v>66</v>
      </c>
      <c r="B78" s="301">
        <v>3737.6</v>
      </c>
      <c r="C78" s="301">
        <v>97.377970129999994</v>
      </c>
      <c r="D78" s="301">
        <v>200.06661994999999</v>
      </c>
      <c r="E78" s="301">
        <v>206.12116759</v>
      </c>
      <c r="F78" s="302">
        <f t="shared" si="9"/>
        <v>2.6053609302761131E-2</v>
      </c>
      <c r="G78" s="302">
        <f t="shared" si="9"/>
        <v>5.3528098231485445E-2</v>
      </c>
      <c r="H78" s="302">
        <f t="shared" si="9"/>
        <v>5.514800074646832E-2</v>
      </c>
      <c r="K78" s="295">
        <f t="shared" si="10"/>
        <v>2.6053609302761132</v>
      </c>
      <c r="L78" s="295">
        <f t="shared" si="11"/>
        <v>5.3528098231485446</v>
      </c>
      <c r="M78" s="295">
        <f t="shared" si="12"/>
        <v>5.514800074646832</v>
      </c>
    </row>
    <row r="79" spans="1:13" x14ac:dyDescent="0.2">
      <c r="A79" t="s">
        <v>126</v>
      </c>
      <c r="B79" s="301">
        <v>1289</v>
      </c>
      <c r="C79" s="301">
        <v>60.73523119</v>
      </c>
      <c r="D79" s="301">
        <v>79.6453518</v>
      </c>
      <c r="E79" s="301">
        <v>108.22727433</v>
      </c>
      <c r="F79" s="302">
        <f t="shared" si="9"/>
        <v>4.7118100224980607E-2</v>
      </c>
      <c r="G79" s="302">
        <f t="shared" si="9"/>
        <v>6.1788480837858803E-2</v>
      </c>
      <c r="H79" s="302">
        <f t="shared" si="9"/>
        <v>8.3962198859581075E-2</v>
      </c>
      <c r="K79" s="295">
        <f t="shared" si="10"/>
        <v>4.711810022498061</v>
      </c>
      <c r="L79" s="295">
        <f t="shared" si="11"/>
        <v>6.1788480837858799</v>
      </c>
      <c r="M79" s="295">
        <f t="shared" si="12"/>
        <v>8.3962198859581072</v>
      </c>
    </row>
    <row r="80" spans="1:13" x14ac:dyDescent="0.2">
      <c r="A80" t="s">
        <v>127</v>
      </c>
      <c r="B80" s="301">
        <v>1360.4</v>
      </c>
      <c r="C80" s="301">
        <v>48.753862359999999</v>
      </c>
      <c r="D80" s="301">
        <v>85.00157883</v>
      </c>
      <c r="E80" s="301">
        <v>109.10825642</v>
      </c>
      <c r="F80" s="302">
        <f t="shared" si="9"/>
        <v>3.5837887650690972E-2</v>
      </c>
      <c r="G80" s="302">
        <f t="shared" si="9"/>
        <v>6.2482783615113197E-2</v>
      </c>
      <c r="H80" s="302">
        <f t="shared" si="9"/>
        <v>8.0203069994119372E-2</v>
      </c>
      <c r="K80" s="295">
        <f t="shared" si="10"/>
        <v>3.5837887650690972</v>
      </c>
      <c r="L80" s="295">
        <f t="shared" si="11"/>
        <v>6.2482783615113195</v>
      </c>
      <c r="M80" s="295">
        <f t="shared" si="12"/>
        <v>8.0203069994119378</v>
      </c>
    </row>
    <row r="81" spans="1:13" x14ac:dyDescent="0.2">
      <c r="A81" t="s">
        <v>128</v>
      </c>
      <c r="B81" s="301">
        <v>1273.2</v>
      </c>
      <c r="C81" s="301">
        <v>39.564578060000002</v>
      </c>
      <c r="D81" s="301">
        <v>88.22501149</v>
      </c>
      <c r="E81" s="301">
        <v>113.43403181000001</v>
      </c>
      <c r="F81" s="302">
        <f t="shared" ref="F81:H102" si="13">C81/$B81</f>
        <v>3.1074912079798931E-2</v>
      </c>
      <c r="G81" s="302">
        <f t="shared" si="13"/>
        <v>6.9293914145460253E-2</v>
      </c>
      <c r="H81" s="302">
        <f t="shared" si="13"/>
        <v>8.9093647353125985E-2</v>
      </c>
      <c r="K81" s="295">
        <f t="shared" ref="K81:K102" si="14">F81*100</f>
        <v>3.1074912079798933</v>
      </c>
      <c r="L81" s="295">
        <f t="shared" ref="L81:L102" si="15">G81*100</f>
        <v>6.9293914145460249</v>
      </c>
      <c r="M81" s="295">
        <f t="shared" ref="M81:M102" si="16">H81*100</f>
        <v>8.9093647353125984</v>
      </c>
    </row>
    <row r="82" spans="1:13" x14ac:dyDescent="0.2">
      <c r="A82" t="s">
        <v>129</v>
      </c>
      <c r="B82" s="301">
        <v>743.5</v>
      </c>
      <c r="C82" s="301">
        <v>25.066151430000001</v>
      </c>
      <c r="D82" s="301">
        <v>53.811500070000001</v>
      </c>
      <c r="E82" s="301">
        <v>70.804020129999998</v>
      </c>
      <c r="F82" s="302">
        <f t="shared" si="13"/>
        <v>3.3713720820443847E-2</v>
      </c>
      <c r="G82" s="302">
        <f t="shared" si="13"/>
        <v>7.237592477471419E-2</v>
      </c>
      <c r="H82" s="302">
        <f t="shared" si="13"/>
        <v>9.5230692844653658E-2</v>
      </c>
      <c r="K82" s="295">
        <f t="shared" si="14"/>
        <v>3.3713720820443847</v>
      </c>
      <c r="L82" s="295">
        <f t="shared" si="15"/>
        <v>7.2375924774714191</v>
      </c>
      <c r="M82" s="295">
        <f t="shared" si="16"/>
        <v>9.5230692844653664</v>
      </c>
    </row>
    <row r="83" spans="1:13" x14ac:dyDescent="0.2">
      <c r="A83" t="s">
        <v>130</v>
      </c>
      <c r="B83" s="301">
        <v>613.79999999999995</v>
      </c>
      <c r="C83" s="301">
        <v>12.38081732</v>
      </c>
      <c r="D83" s="301">
        <v>22.663050350000002</v>
      </c>
      <c r="E83" s="301">
        <v>24.393318050000001</v>
      </c>
      <c r="F83" s="302">
        <f t="shared" si="13"/>
        <v>2.0170767872271098E-2</v>
      </c>
      <c r="G83" s="302">
        <f t="shared" si="13"/>
        <v>3.6922532339524285E-2</v>
      </c>
      <c r="H83" s="302">
        <f t="shared" si="13"/>
        <v>3.9741476132290655E-2</v>
      </c>
      <c r="K83" s="295">
        <f t="shared" si="14"/>
        <v>2.01707678722711</v>
      </c>
      <c r="L83" s="295">
        <f t="shared" si="15"/>
        <v>3.6922532339524285</v>
      </c>
      <c r="M83" s="295">
        <f t="shared" si="16"/>
        <v>3.9741476132290656</v>
      </c>
    </row>
    <row r="84" spans="1:13" x14ac:dyDescent="0.2">
      <c r="A84" t="s">
        <v>57</v>
      </c>
      <c r="B84" s="301">
        <v>641.79999999999995</v>
      </c>
      <c r="C84" s="301">
        <v>34.106424250000003</v>
      </c>
      <c r="D84" s="301">
        <v>100.17816334999999</v>
      </c>
      <c r="E84" s="301">
        <v>75.012400889999995</v>
      </c>
      <c r="F84" s="302">
        <f t="shared" si="13"/>
        <v>5.3141826503583678E-2</v>
      </c>
      <c r="G84" s="302">
        <f t="shared" si="13"/>
        <v>0.15608937885634153</v>
      </c>
      <c r="H84" s="302">
        <f t="shared" si="13"/>
        <v>0.11687815657525709</v>
      </c>
      <c r="K84" s="295">
        <f t="shared" si="14"/>
        <v>5.3141826503583678</v>
      </c>
      <c r="L84" s="295">
        <f t="shared" si="15"/>
        <v>15.608937885634152</v>
      </c>
      <c r="M84" s="295">
        <f t="shared" si="16"/>
        <v>11.687815657525709</v>
      </c>
    </row>
    <row r="85" spans="1:13" x14ac:dyDescent="0.2">
      <c r="A85" t="s">
        <v>58</v>
      </c>
      <c r="B85" s="301">
        <v>711</v>
      </c>
      <c r="C85" s="301">
        <v>23.413653789999998</v>
      </c>
      <c r="D85" s="301">
        <v>39.618874049999995</v>
      </c>
      <c r="E85" s="301">
        <v>56.29292014</v>
      </c>
      <c r="F85" s="302">
        <f t="shared" si="13"/>
        <v>3.293059604781997E-2</v>
      </c>
      <c r="G85" s="302">
        <f t="shared" si="13"/>
        <v>5.5722748312236281E-2</v>
      </c>
      <c r="H85" s="302">
        <f t="shared" si="13"/>
        <v>7.9174289929676511E-2</v>
      </c>
      <c r="K85" s="295">
        <f t="shared" si="14"/>
        <v>3.2930596047819969</v>
      </c>
      <c r="L85" s="295">
        <f t="shared" si="15"/>
        <v>5.5722748312236279</v>
      </c>
      <c r="M85" s="295">
        <f t="shared" si="16"/>
        <v>7.9174289929676513</v>
      </c>
    </row>
    <row r="86" spans="1:13" x14ac:dyDescent="0.2">
      <c r="A86" t="s">
        <v>143</v>
      </c>
      <c r="B86" s="301">
        <v>459.8</v>
      </c>
      <c r="C86" s="301">
        <v>13.03039753</v>
      </c>
      <c r="D86" s="301">
        <v>27.574586570000001</v>
      </c>
      <c r="E86" s="301">
        <v>38.319219629999999</v>
      </c>
      <c r="F86" s="302">
        <f t="shared" si="13"/>
        <v>2.8339272575032621E-2</v>
      </c>
      <c r="G86" s="302">
        <f t="shared" si="13"/>
        <v>5.9970827685950412E-2</v>
      </c>
      <c r="H86" s="302">
        <f t="shared" si="13"/>
        <v>8.3338885667681592E-2</v>
      </c>
      <c r="K86" s="295">
        <f t="shared" si="14"/>
        <v>2.8339272575032619</v>
      </c>
      <c r="L86" s="295">
        <f t="shared" si="15"/>
        <v>5.9970827685950407</v>
      </c>
      <c r="M86" s="295">
        <f t="shared" si="16"/>
        <v>8.3338885667681595</v>
      </c>
    </row>
    <row r="87" spans="1:13" x14ac:dyDescent="0.2">
      <c r="A87" t="s">
        <v>286</v>
      </c>
      <c r="B87" s="301">
        <v>594.20000000000005</v>
      </c>
      <c r="C87" s="301">
        <v>15.022849130000001</v>
      </c>
      <c r="D87" s="301">
        <v>33.168420900000001</v>
      </c>
      <c r="E87" s="301">
        <v>42.163415149999999</v>
      </c>
      <c r="F87" s="302">
        <f t="shared" si="13"/>
        <v>2.5282479182093569E-2</v>
      </c>
      <c r="G87" s="302">
        <f t="shared" si="13"/>
        <v>5.5820297711208347E-2</v>
      </c>
      <c r="H87" s="302">
        <f t="shared" si="13"/>
        <v>7.0958288707505882E-2</v>
      </c>
      <c r="K87" s="295">
        <f t="shared" si="14"/>
        <v>2.5282479182093569</v>
      </c>
      <c r="L87" s="295">
        <f t="shared" si="15"/>
        <v>5.5820297711208351</v>
      </c>
      <c r="M87" s="295">
        <f t="shared" si="16"/>
        <v>7.0958288707505881</v>
      </c>
    </row>
    <row r="88" spans="1:13" x14ac:dyDescent="0.2">
      <c r="A88" t="s">
        <v>289</v>
      </c>
      <c r="B88" s="301">
        <v>1660.1</v>
      </c>
      <c r="C88" s="301">
        <v>59.222530119999995</v>
      </c>
      <c r="D88" s="301">
        <v>117.46113468999999</v>
      </c>
      <c r="E88" s="301">
        <v>130.01048209000001</v>
      </c>
      <c r="F88" s="302">
        <f t="shared" si="13"/>
        <v>3.5674073923257631E-2</v>
      </c>
      <c r="G88" s="302">
        <f t="shared" si="13"/>
        <v>7.0755457315824347E-2</v>
      </c>
      <c r="H88" s="302">
        <f t="shared" si="13"/>
        <v>7.8314849762062544E-2</v>
      </c>
      <c r="K88" s="295">
        <f t="shared" si="14"/>
        <v>3.5674073923257632</v>
      </c>
      <c r="L88" s="295">
        <f t="shared" si="15"/>
        <v>7.0755457315824346</v>
      </c>
      <c r="M88" s="295">
        <f t="shared" si="16"/>
        <v>7.8314849762062542</v>
      </c>
    </row>
    <row r="89" spans="1:13" x14ac:dyDescent="0.2">
      <c r="A89" t="s">
        <v>67</v>
      </c>
      <c r="B89" s="301">
        <v>528.4</v>
      </c>
      <c r="C89" s="301">
        <v>13.74987497</v>
      </c>
      <c r="D89" s="301">
        <v>26.424308019999998</v>
      </c>
      <c r="E89" s="301">
        <v>83.84619653</v>
      </c>
      <c r="F89" s="302">
        <f t="shared" si="13"/>
        <v>2.6021716445874341E-2</v>
      </c>
      <c r="G89" s="302">
        <f t="shared" si="13"/>
        <v>5.0008152952308857E-2</v>
      </c>
      <c r="H89" s="302">
        <f t="shared" si="13"/>
        <v>0.15867940297123392</v>
      </c>
      <c r="K89" s="295">
        <f t="shared" si="14"/>
        <v>2.6021716445874343</v>
      </c>
      <c r="L89" s="295">
        <f t="shared" si="15"/>
        <v>5.0008152952308853</v>
      </c>
      <c r="M89" s="295">
        <f t="shared" si="16"/>
        <v>15.867940297123392</v>
      </c>
    </row>
    <row r="90" spans="1:13" x14ac:dyDescent="0.2">
      <c r="A90" t="s">
        <v>69</v>
      </c>
      <c r="B90" s="301">
        <v>2866.9</v>
      </c>
      <c r="C90" s="301">
        <v>164.56861981999998</v>
      </c>
      <c r="D90" s="301">
        <v>213.93266967</v>
      </c>
      <c r="E90" s="301">
        <v>222.68205205999999</v>
      </c>
      <c r="F90" s="302">
        <f t="shared" si="13"/>
        <v>5.7402985740695515E-2</v>
      </c>
      <c r="G90" s="302">
        <f t="shared" si="13"/>
        <v>7.4621601614984823E-2</v>
      </c>
      <c r="H90" s="302">
        <f t="shared" si="13"/>
        <v>7.7673463343681318E-2</v>
      </c>
      <c r="K90" s="295">
        <f t="shared" si="14"/>
        <v>5.7402985740695511</v>
      </c>
      <c r="L90" s="295">
        <f t="shared" si="15"/>
        <v>7.462160161498482</v>
      </c>
      <c r="M90" s="295">
        <f t="shared" si="16"/>
        <v>7.7673463343681322</v>
      </c>
    </row>
    <row r="91" spans="1:13" x14ac:dyDescent="0.2">
      <c r="A91" t="s">
        <v>70</v>
      </c>
      <c r="B91" s="301">
        <v>1016</v>
      </c>
      <c r="C91" s="301">
        <v>36.416610310000003</v>
      </c>
      <c r="D91" s="301">
        <v>55.218301170000004</v>
      </c>
      <c r="E91" s="301">
        <v>75.26007048000001</v>
      </c>
      <c r="F91" s="302">
        <f t="shared" si="13"/>
        <v>3.5843120383858271E-2</v>
      </c>
      <c r="G91" s="302">
        <f t="shared" si="13"/>
        <v>5.4348721624015751E-2</v>
      </c>
      <c r="H91" s="302">
        <f t="shared" si="13"/>
        <v>7.4074872519685045E-2</v>
      </c>
      <c r="K91" s="295">
        <f t="shared" si="14"/>
        <v>3.5843120383858271</v>
      </c>
      <c r="L91" s="295">
        <f t="shared" si="15"/>
        <v>5.4348721624015752</v>
      </c>
      <c r="M91" s="295">
        <f t="shared" si="16"/>
        <v>7.4074872519685044</v>
      </c>
    </row>
    <row r="92" spans="1:13" x14ac:dyDescent="0.2">
      <c r="A92" t="s">
        <v>71</v>
      </c>
      <c r="B92" s="301">
        <v>1009.5</v>
      </c>
      <c r="C92" s="301">
        <v>82.46340146</v>
      </c>
      <c r="D92" s="301">
        <v>52.3598073</v>
      </c>
      <c r="E92" s="301">
        <v>85.487967810000001</v>
      </c>
      <c r="F92" s="302">
        <f t="shared" si="13"/>
        <v>8.1687371431401687E-2</v>
      </c>
      <c r="G92" s="302">
        <f t="shared" si="13"/>
        <v>5.186707013372957E-2</v>
      </c>
      <c r="H92" s="302">
        <f t="shared" si="13"/>
        <v>8.4683474799405647E-2</v>
      </c>
      <c r="K92" s="295">
        <f t="shared" si="14"/>
        <v>8.1687371431401683</v>
      </c>
      <c r="L92" s="295">
        <f t="shared" si="15"/>
        <v>5.1867070133729571</v>
      </c>
      <c r="M92" s="295">
        <f t="shared" si="16"/>
        <v>8.4683474799405651</v>
      </c>
    </row>
    <row r="93" spans="1:13" x14ac:dyDescent="0.2">
      <c r="A93" t="s">
        <v>72</v>
      </c>
      <c r="B93" s="301">
        <v>839</v>
      </c>
      <c r="C93" s="301">
        <v>22.649001869999999</v>
      </c>
      <c r="D93" s="301">
        <v>118.09508455</v>
      </c>
      <c r="E93" s="301">
        <v>46.682823720000002</v>
      </c>
      <c r="F93" s="302">
        <f t="shared" si="13"/>
        <v>2.6995234648390942E-2</v>
      </c>
      <c r="G93" s="302">
        <f t="shared" si="13"/>
        <v>0.14075695417163289</v>
      </c>
      <c r="H93" s="302">
        <f t="shared" si="13"/>
        <v>5.5641029463647199E-2</v>
      </c>
      <c r="K93" s="295">
        <f t="shared" si="14"/>
        <v>2.699523464839094</v>
      </c>
      <c r="L93" s="295">
        <f t="shared" si="15"/>
        <v>14.075695417163288</v>
      </c>
      <c r="M93" s="295">
        <f t="shared" si="16"/>
        <v>5.56410294636472</v>
      </c>
    </row>
    <row r="94" spans="1:13" x14ac:dyDescent="0.2">
      <c r="A94" t="s">
        <v>73</v>
      </c>
      <c r="B94" s="301">
        <v>2074.1</v>
      </c>
      <c r="C94" s="301">
        <v>65.193177149999997</v>
      </c>
      <c r="D94" s="301">
        <v>162.07708231999999</v>
      </c>
      <c r="E94" s="301">
        <v>194.73987978</v>
      </c>
      <c r="F94" s="302">
        <f t="shared" si="13"/>
        <v>3.1432031796923963E-2</v>
      </c>
      <c r="G94" s="302">
        <f t="shared" si="13"/>
        <v>7.8143330755508417E-2</v>
      </c>
      <c r="H94" s="302">
        <f t="shared" si="13"/>
        <v>9.389126839593076E-2</v>
      </c>
      <c r="K94" s="295">
        <f t="shared" si="14"/>
        <v>3.1432031796923963</v>
      </c>
      <c r="L94" s="295">
        <f t="shared" si="15"/>
        <v>7.8143330755508416</v>
      </c>
      <c r="M94" s="295">
        <f t="shared" si="16"/>
        <v>9.3891268395930751</v>
      </c>
    </row>
    <row r="95" spans="1:13" x14ac:dyDescent="0.2">
      <c r="A95" t="s">
        <v>68</v>
      </c>
      <c r="B95" s="301">
        <v>1469</v>
      </c>
      <c r="C95" s="301">
        <v>64.837055000000007</v>
      </c>
      <c r="D95" s="301">
        <v>94.327815999999999</v>
      </c>
      <c r="E95" s="301">
        <v>119.86622</v>
      </c>
      <c r="F95" s="302">
        <f t="shared" si="13"/>
        <v>4.4136865214431588E-2</v>
      </c>
      <c r="G95" s="302">
        <f t="shared" si="13"/>
        <v>6.4212264125255269E-2</v>
      </c>
      <c r="H95" s="302">
        <f t="shared" si="13"/>
        <v>8.1597154526889037E-2</v>
      </c>
      <c r="K95" s="295">
        <f t="shared" si="14"/>
        <v>4.4136865214431591</v>
      </c>
      <c r="L95" s="295">
        <f t="shared" si="15"/>
        <v>6.4212264125255274</v>
      </c>
      <c r="M95" s="295">
        <f t="shared" si="16"/>
        <v>8.1597154526889035</v>
      </c>
    </row>
    <row r="96" spans="1:13" x14ac:dyDescent="0.2">
      <c r="A96" t="s">
        <v>74</v>
      </c>
      <c r="B96" s="301">
        <v>690.4</v>
      </c>
      <c r="C96" s="301">
        <v>75.604668010000012</v>
      </c>
      <c r="D96" s="301">
        <v>40.132461450000001</v>
      </c>
      <c r="E96" s="301">
        <v>60.197738890000004</v>
      </c>
      <c r="F96" s="302">
        <f t="shared" si="13"/>
        <v>0.1095084994351101</v>
      </c>
      <c r="G96" s="302">
        <f t="shared" si="13"/>
        <v>5.8129289469872544E-2</v>
      </c>
      <c r="H96" s="302">
        <f t="shared" si="13"/>
        <v>8.7192553432792586E-2</v>
      </c>
      <c r="K96" s="295">
        <f t="shared" si="14"/>
        <v>10.95084994351101</v>
      </c>
      <c r="L96" s="295">
        <f t="shared" si="15"/>
        <v>5.8129289469872543</v>
      </c>
      <c r="M96" s="295">
        <f t="shared" si="16"/>
        <v>8.7192553432792579</v>
      </c>
    </row>
    <row r="97" spans="1:13" x14ac:dyDescent="0.2">
      <c r="A97" t="s">
        <v>75</v>
      </c>
      <c r="B97" s="301">
        <v>846.3</v>
      </c>
      <c r="C97" s="301">
        <v>41.172426439999995</v>
      </c>
      <c r="D97" s="301">
        <v>61.929120130000001</v>
      </c>
      <c r="E97" s="301">
        <v>70.495887490000001</v>
      </c>
      <c r="F97" s="302">
        <f t="shared" si="13"/>
        <v>4.8649918988538342E-2</v>
      </c>
      <c r="G97" s="302">
        <f t="shared" si="13"/>
        <v>7.3176320607349646E-2</v>
      </c>
      <c r="H97" s="302">
        <f t="shared" si="13"/>
        <v>8.3298933581472293E-2</v>
      </c>
      <c r="K97" s="295">
        <f t="shared" si="14"/>
        <v>4.8649918988538339</v>
      </c>
      <c r="L97" s="295">
        <f t="shared" si="15"/>
        <v>7.3176320607349643</v>
      </c>
      <c r="M97" s="295">
        <f t="shared" si="16"/>
        <v>8.3298933581472294</v>
      </c>
    </row>
    <row r="98" spans="1:13" x14ac:dyDescent="0.2">
      <c r="A98" t="s">
        <v>76</v>
      </c>
      <c r="B98" s="301">
        <v>1158</v>
      </c>
      <c r="C98" s="301">
        <v>37.20695267</v>
      </c>
      <c r="D98" s="301">
        <v>59.739185549999995</v>
      </c>
      <c r="E98" s="301">
        <v>156.96173744999999</v>
      </c>
      <c r="F98" s="302">
        <f t="shared" si="13"/>
        <v>3.2130356364421415E-2</v>
      </c>
      <c r="G98" s="302">
        <f t="shared" si="13"/>
        <v>5.1588243134715023E-2</v>
      </c>
      <c r="H98" s="302">
        <f t="shared" si="13"/>
        <v>0.13554554183937823</v>
      </c>
      <c r="K98" s="295">
        <f t="shared" si="14"/>
        <v>3.2130356364421417</v>
      </c>
      <c r="L98" s="295">
        <f t="shared" si="15"/>
        <v>5.1588243134715022</v>
      </c>
      <c r="M98" s="295">
        <f t="shared" si="16"/>
        <v>13.554554183937823</v>
      </c>
    </row>
    <row r="99" spans="1:13" x14ac:dyDescent="0.2">
      <c r="A99" t="s">
        <v>77</v>
      </c>
      <c r="B99" s="301">
        <v>502.6</v>
      </c>
      <c r="C99" s="301">
        <v>32.677502519999997</v>
      </c>
      <c r="D99" s="301">
        <v>41.67420697</v>
      </c>
      <c r="E99" s="301">
        <v>48.91354364</v>
      </c>
      <c r="F99" s="302">
        <f t="shared" si="13"/>
        <v>6.5016917071229599E-2</v>
      </c>
      <c r="G99" s="302">
        <f t="shared" si="13"/>
        <v>8.2917244269797047E-2</v>
      </c>
      <c r="H99" s="302">
        <f t="shared" si="13"/>
        <v>9.7321017986470346E-2</v>
      </c>
      <c r="K99" s="295">
        <f t="shared" si="14"/>
        <v>6.5016917071229603</v>
      </c>
      <c r="L99" s="295">
        <f t="shared" si="15"/>
        <v>8.2917244269797052</v>
      </c>
      <c r="M99" s="295">
        <f t="shared" si="16"/>
        <v>9.7321017986470348</v>
      </c>
    </row>
    <row r="100" spans="1:13" x14ac:dyDescent="0.2">
      <c r="A100" t="s">
        <v>78</v>
      </c>
      <c r="B100" s="301">
        <v>2597.8000000000002</v>
      </c>
      <c r="C100" s="301">
        <v>70.277765000000002</v>
      </c>
      <c r="D100" s="301">
        <v>167.90444500000001</v>
      </c>
      <c r="E100" s="301">
        <v>208.30962099999999</v>
      </c>
      <c r="F100" s="302">
        <f t="shared" si="13"/>
        <v>2.7052800446531678E-2</v>
      </c>
      <c r="G100" s="302">
        <f t="shared" si="13"/>
        <v>6.4633322426668721E-2</v>
      </c>
      <c r="H100" s="302">
        <f t="shared" si="13"/>
        <v>8.0186935483870958E-2</v>
      </c>
      <c r="K100" s="295">
        <f t="shared" si="14"/>
        <v>2.705280044653168</v>
      </c>
      <c r="L100" s="295">
        <f t="shared" si="15"/>
        <v>6.4633322426668718</v>
      </c>
      <c r="M100" s="295">
        <f t="shared" si="16"/>
        <v>8.0186935483870965</v>
      </c>
    </row>
    <row r="101" spans="1:13" x14ac:dyDescent="0.2">
      <c r="A101" t="s">
        <v>135</v>
      </c>
      <c r="B101" s="301">
        <v>729.2</v>
      </c>
      <c r="C101" s="301">
        <v>0</v>
      </c>
      <c r="D101" s="301">
        <v>0</v>
      </c>
      <c r="E101" s="301">
        <v>0</v>
      </c>
      <c r="F101" s="302">
        <f t="shared" si="13"/>
        <v>0</v>
      </c>
      <c r="G101" s="302">
        <f t="shared" si="13"/>
        <v>0</v>
      </c>
      <c r="H101" s="302">
        <f t="shared" si="13"/>
        <v>0</v>
      </c>
      <c r="K101" s="295">
        <f t="shared" si="14"/>
        <v>0</v>
      </c>
      <c r="L101" s="295">
        <f t="shared" si="15"/>
        <v>0</v>
      </c>
      <c r="M101" s="295">
        <f t="shared" si="16"/>
        <v>0</v>
      </c>
    </row>
    <row r="102" spans="1:13" x14ac:dyDescent="0.2">
      <c r="B102" s="301">
        <f>SUM(B16:B101)</f>
        <v>113554.90000000001</v>
      </c>
      <c r="C102" s="301">
        <f>SUM(C16:C101)</f>
        <v>4667.105931189998</v>
      </c>
      <c r="D102" s="301">
        <f>SUM(D16:D101)</f>
        <v>7698.3092366700021</v>
      </c>
      <c r="E102" s="301">
        <f>SUM(E16:E101)</f>
        <v>9038.3684535499979</v>
      </c>
      <c r="F102" s="302">
        <f t="shared" ref="F102" si="17">C102/B102</f>
        <v>4.1099995959575482E-2</v>
      </c>
      <c r="G102" s="302">
        <f t="shared" ref="G102" si="18">D102/B102</f>
        <v>6.7793721245582542E-2</v>
      </c>
      <c r="H102" s="302">
        <f t="shared" si="13"/>
        <v>7.9594702241382778E-2</v>
      </c>
      <c r="K102" s="295">
        <f t="shared" si="14"/>
        <v>4.1099995959575484</v>
      </c>
      <c r="L102" s="295">
        <f t="shared" si="15"/>
        <v>6.7793721245582539</v>
      </c>
      <c r="M102" s="295">
        <f t="shared" si="16"/>
        <v>7.9594702241382782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SLS MD</vt:lpstr>
      <vt:lpstr>DAILY</vt:lpstr>
      <vt:lpstr>SLS STORE</vt:lpstr>
      <vt:lpstr>DATA</vt:lpstr>
      <vt:lpstr>Sheet2</vt:lpstr>
      <vt:lpstr>Sheet1</vt:lpstr>
      <vt:lpstr>'SLS MD'!Print_Area</vt:lpstr>
      <vt:lpstr>'SLS STORE'!Print_Area</vt:lpstr>
      <vt:lpstr>DAILY!Print_Titles</vt:lpstr>
      <vt:lpstr>'SLS STORE'!Print_Titles</vt:lpstr>
    </vt:vector>
  </TitlesOfParts>
  <Company>ramayana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Ignatius Andy</dc:creator>
  <cp:lastModifiedBy>VIKTOR</cp:lastModifiedBy>
  <cp:lastPrinted>2020-03-30T01:02:50Z</cp:lastPrinted>
  <dcterms:created xsi:type="dcterms:W3CDTF">2009-01-05T10:15:09Z</dcterms:created>
  <dcterms:modified xsi:type="dcterms:W3CDTF">2020-04-01T02:28:27Z</dcterms:modified>
</cp:coreProperties>
</file>