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 analysis Projects\Financial model\"/>
    </mc:Choice>
  </mc:AlternateContent>
  <xr:revisionPtr revIDLastSave="0" documentId="13_ncr:1_{4D14514B-3615-4E84-856D-4E06CC0FFC87}" xr6:coauthVersionLast="47" xr6:coauthVersionMax="47" xr10:uidLastSave="{00000000-0000-0000-0000-000000000000}"/>
  <bookViews>
    <workbookView xWindow="-108" yWindow="-108" windowWidth="23256" windowHeight="12456" activeTab="6" xr2:uid="{A2BEDFE8-F388-45DB-A236-F726C79E6CB6}"/>
  </bookViews>
  <sheets>
    <sheet name="Cover" sheetId="3" r:id="rId1"/>
    <sheet name="Guide Sheet" sheetId="2" r:id="rId2"/>
    <sheet name="Assumptions" sheetId="1" r:id="rId3"/>
    <sheet name="Calculations" sheetId="5" r:id="rId4"/>
    <sheet name="P&amp;L" sheetId="8" r:id="rId5"/>
    <sheet name="Balance Sheet" sheetId="7" r:id="rId6"/>
    <sheet name="Cashflow Statement" sheetId="9" r:id="rId7"/>
  </sheets>
  <definedNames>
    <definedName name="Asset_Useful_Life_">Assumptions!$F$40</definedName>
    <definedName name="Company">'Guide Sheet'!$E$8</definedName>
    <definedName name="Days_In_a_Month">'Guide Sheet'!$E$20</definedName>
    <definedName name="Days_In_a_Year">'Guide Sheet'!$E$18</definedName>
    <definedName name="EndDate">'Guide Sheet'!$E$17</definedName>
    <definedName name="Months_In_a_Year">'Guide Sheet'!$E$19</definedName>
    <definedName name="StartDate">'Guide Sheet'!$E$16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I15" i="1" s="1"/>
  <c r="H29" i="9"/>
  <c r="I27" i="9" s="1"/>
  <c r="J27" i="5"/>
  <c r="J19" i="9" s="1"/>
  <c r="J20" i="9" s="1"/>
  <c r="K27" i="5"/>
  <c r="K19" i="9" s="1"/>
  <c r="K20" i="9" s="1"/>
  <c r="L27" i="5"/>
  <c r="L19" i="9" s="1"/>
  <c r="L20" i="9" s="1"/>
  <c r="M27" i="5"/>
  <c r="M19" i="9" s="1"/>
  <c r="M20" i="9" s="1"/>
  <c r="N27" i="5"/>
  <c r="N19" i="9" s="1"/>
  <c r="N20" i="9" s="1"/>
  <c r="O27" i="5"/>
  <c r="O19" i="9" s="1"/>
  <c r="O20" i="9" s="1"/>
  <c r="P27" i="5"/>
  <c r="P19" i="9" s="1"/>
  <c r="P20" i="9" s="1"/>
  <c r="Q27" i="5"/>
  <c r="Q19" i="9" s="1"/>
  <c r="Q20" i="9" s="1"/>
  <c r="R27" i="5"/>
  <c r="R19" i="9" s="1"/>
  <c r="R20" i="9" s="1"/>
  <c r="S27" i="5"/>
  <c r="S19" i="9" s="1"/>
  <c r="S20" i="9" s="1"/>
  <c r="T27" i="5"/>
  <c r="T19" i="9" s="1"/>
  <c r="T20" i="9" s="1"/>
  <c r="I27" i="5"/>
  <c r="J28" i="5" s="1"/>
  <c r="J17" i="8" s="1"/>
  <c r="J12" i="9" s="1"/>
  <c r="I22" i="5"/>
  <c r="I22" i="9" s="1"/>
  <c r="I23" i="9" s="1"/>
  <c r="K22" i="5"/>
  <c r="K22" i="9" s="1"/>
  <c r="K23" i="9" s="1"/>
  <c r="L22" i="5"/>
  <c r="L22" i="9" s="1"/>
  <c r="L23" i="9" s="1"/>
  <c r="M22" i="5"/>
  <c r="M22" i="9" s="1"/>
  <c r="M23" i="9" s="1"/>
  <c r="N22" i="5"/>
  <c r="N22" i="9" s="1"/>
  <c r="N23" i="9" s="1"/>
  <c r="O22" i="5"/>
  <c r="O22" i="9" s="1"/>
  <c r="O23" i="9" s="1"/>
  <c r="P22" i="5"/>
  <c r="P22" i="9" s="1"/>
  <c r="P23" i="9" s="1"/>
  <c r="Q22" i="5"/>
  <c r="Q22" i="9" s="1"/>
  <c r="Q23" i="9" s="1"/>
  <c r="R22" i="5"/>
  <c r="R22" i="9" s="1"/>
  <c r="R23" i="9" s="1"/>
  <c r="S22" i="5"/>
  <c r="S22" i="9" s="1"/>
  <c r="S23" i="9" s="1"/>
  <c r="T22" i="5"/>
  <c r="T22" i="9" s="1"/>
  <c r="T23" i="9" s="1"/>
  <c r="J22" i="5"/>
  <c r="J22" i="9" s="1"/>
  <c r="J23" i="9" s="1"/>
  <c r="G4" i="9"/>
  <c r="I6" i="9" s="1"/>
  <c r="J6" i="9" s="1"/>
  <c r="K6" i="9" s="1"/>
  <c r="L6" i="9" s="1"/>
  <c r="M6" i="9" s="1"/>
  <c r="N6" i="9" s="1"/>
  <c r="O6" i="9" s="1"/>
  <c r="P6" i="9" s="1"/>
  <c r="Q6" i="9" s="1"/>
  <c r="R6" i="9" s="1"/>
  <c r="S6" i="9" s="1"/>
  <c r="T6" i="9" s="1"/>
  <c r="B2" i="9"/>
  <c r="G4" i="8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B2" i="8"/>
  <c r="G4" i="7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B2" i="7"/>
  <c r="G4" i="5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B2" i="5"/>
  <c r="G4" i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E17" i="2"/>
  <c r="B2" i="1"/>
  <c r="B2" i="2"/>
  <c r="E9" i="3"/>
  <c r="I10" i="5" l="1"/>
  <c r="I10" i="8" s="1"/>
  <c r="I33" i="5"/>
  <c r="I17" i="7" s="1"/>
  <c r="I15" i="9" s="1"/>
  <c r="J14" i="1"/>
  <c r="J15" i="1" s="1"/>
  <c r="I23" i="5"/>
  <c r="J21" i="5" s="1"/>
  <c r="J23" i="5" s="1"/>
  <c r="S28" i="5"/>
  <c r="S17" i="8" s="1"/>
  <c r="S12" i="9" s="1"/>
  <c r="O28" i="5"/>
  <c r="O17" i="8" s="1"/>
  <c r="O12" i="9" s="1"/>
  <c r="K28" i="5"/>
  <c r="K17" i="8" s="1"/>
  <c r="K12" i="9" s="1"/>
  <c r="I19" i="9"/>
  <c r="I20" i="9" s="1"/>
  <c r="I28" i="5"/>
  <c r="I17" i="8" s="1"/>
  <c r="Q28" i="5"/>
  <c r="Q17" i="8" s="1"/>
  <c r="Q12" i="9" s="1"/>
  <c r="M28" i="5"/>
  <c r="M17" i="8" s="1"/>
  <c r="M12" i="9" s="1"/>
  <c r="T28" i="5"/>
  <c r="T17" i="8" s="1"/>
  <c r="T12" i="9" s="1"/>
  <c r="P28" i="5"/>
  <c r="P17" i="8" s="1"/>
  <c r="P12" i="9" s="1"/>
  <c r="L28" i="5"/>
  <c r="L17" i="8" s="1"/>
  <c r="L12" i="9" s="1"/>
  <c r="R28" i="5"/>
  <c r="R17" i="8" s="1"/>
  <c r="R12" i="9" s="1"/>
  <c r="N28" i="5"/>
  <c r="N17" i="8" s="1"/>
  <c r="N12" i="9" s="1"/>
  <c r="I13" i="5" l="1"/>
  <c r="I11" i="8" s="1"/>
  <c r="I15" i="5"/>
  <c r="K14" i="1"/>
  <c r="L14" i="1" s="1"/>
  <c r="J10" i="5"/>
  <c r="J10" i="8" s="1"/>
  <c r="J33" i="5"/>
  <c r="J17" i="7" s="1"/>
  <c r="J15" i="9" s="1"/>
  <c r="I23" i="7"/>
  <c r="K21" i="5"/>
  <c r="K23" i="5" s="1"/>
  <c r="J23" i="7"/>
  <c r="I29" i="5"/>
  <c r="I13" i="7" s="1"/>
  <c r="I12" i="9"/>
  <c r="J13" i="5" l="1"/>
  <c r="J11" i="8" s="1"/>
  <c r="J15" i="5"/>
  <c r="K15" i="1"/>
  <c r="J18" i="5"/>
  <c r="J28" i="7" s="1"/>
  <c r="J14" i="8"/>
  <c r="I18" i="5"/>
  <c r="I28" i="7" s="1"/>
  <c r="I14" i="9" s="1"/>
  <c r="I14" i="8"/>
  <c r="M14" i="1"/>
  <c r="L15" i="1"/>
  <c r="L21" i="5"/>
  <c r="L23" i="5" s="1"/>
  <c r="K23" i="7"/>
  <c r="J26" i="5"/>
  <c r="J29" i="5" s="1"/>
  <c r="J12" i="8"/>
  <c r="I12" i="8"/>
  <c r="L10" i="5" l="1"/>
  <c r="L10" i="8" s="1"/>
  <c r="L33" i="5"/>
  <c r="L17" i="7" s="1"/>
  <c r="K10" i="5"/>
  <c r="K33" i="5"/>
  <c r="K17" i="7" s="1"/>
  <c r="K15" i="9" s="1"/>
  <c r="N14" i="1"/>
  <c r="M15" i="1"/>
  <c r="M21" i="5"/>
  <c r="M23" i="5" s="1"/>
  <c r="L23" i="7"/>
  <c r="I15" i="8"/>
  <c r="I13" i="8"/>
  <c r="J15" i="8"/>
  <c r="J13" i="8"/>
  <c r="K26" i="5"/>
  <c r="K29" i="5" s="1"/>
  <c r="J13" i="7"/>
  <c r="J14" i="9"/>
  <c r="L15" i="9" l="1"/>
  <c r="M10" i="5"/>
  <c r="M10" i="8" s="1"/>
  <c r="M33" i="5"/>
  <c r="M17" i="7" s="1"/>
  <c r="M15" i="9" s="1"/>
  <c r="L15" i="5"/>
  <c r="L14" i="8" s="1"/>
  <c r="L13" i="5"/>
  <c r="L11" i="8" s="1"/>
  <c r="K10" i="8"/>
  <c r="K13" i="5"/>
  <c r="K11" i="8" s="1"/>
  <c r="K15" i="5"/>
  <c r="L12" i="8"/>
  <c r="L13" i="8" s="1"/>
  <c r="L18" i="5"/>
  <c r="L28" i="7" s="1"/>
  <c r="M15" i="5"/>
  <c r="M14" i="8" s="1"/>
  <c r="O14" i="1"/>
  <c r="N15" i="1"/>
  <c r="N21" i="5"/>
  <c r="N23" i="5" s="1"/>
  <c r="M23" i="7"/>
  <c r="J18" i="8"/>
  <c r="J16" i="8"/>
  <c r="L26" i="5"/>
  <c r="L29" i="5" s="1"/>
  <c r="K13" i="7"/>
  <c r="I18" i="8"/>
  <c r="I16" i="8"/>
  <c r="N10" i="5" l="1"/>
  <c r="N10" i="8" s="1"/>
  <c r="N33" i="5"/>
  <c r="N17" i="7" s="1"/>
  <c r="N15" i="9" s="1"/>
  <c r="K12" i="8"/>
  <c r="M13" i="5"/>
  <c r="M11" i="8" s="1"/>
  <c r="M12" i="8" s="1"/>
  <c r="M13" i="8" s="1"/>
  <c r="K14" i="8"/>
  <c r="K18" i="5"/>
  <c r="K28" i="7" s="1"/>
  <c r="K14" i="9" s="1"/>
  <c r="L15" i="8"/>
  <c r="L18" i="8" s="1"/>
  <c r="M18" i="5"/>
  <c r="M28" i="7" s="1"/>
  <c r="M14" i="9" s="1"/>
  <c r="P14" i="1"/>
  <c r="O15" i="1"/>
  <c r="N13" i="5"/>
  <c r="N11" i="8" s="1"/>
  <c r="O21" i="5"/>
  <c r="O23" i="5" s="1"/>
  <c r="N23" i="7"/>
  <c r="I11" i="9"/>
  <c r="I13" i="9" s="1"/>
  <c r="I19" i="8"/>
  <c r="I16" i="9" s="1"/>
  <c r="M26" i="5"/>
  <c r="M29" i="5" s="1"/>
  <c r="L13" i="7"/>
  <c r="J11" i="9"/>
  <c r="J13" i="9" s="1"/>
  <c r="J19" i="8"/>
  <c r="J16" i="9" s="1"/>
  <c r="N15" i="5" l="1"/>
  <c r="N14" i="8" s="1"/>
  <c r="K13" i="8"/>
  <c r="K15" i="8"/>
  <c r="L16" i="8"/>
  <c r="L14" i="9"/>
  <c r="O10" i="5"/>
  <c r="O10" i="8" s="1"/>
  <c r="O33" i="5"/>
  <c r="O17" i="7" s="1"/>
  <c r="O15" i="9" s="1"/>
  <c r="M15" i="8"/>
  <c r="M16" i="8" s="1"/>
  <c r="N12" i="8"/>
  <c r="N13" i="8" s="1"/>
  <c r="N18" i="5"/>
  <c r="N28" i="7" s="1"/>
  <c r="N14" i="9" s="1"/>
  <c r="L19" i="8"/>
  <c r="L11" i="9"/>
  <c r="L13" i="9" s="1"/>
  <c r="N15" i="8"/>
  <c r="O15" i="5"/>
  <c r="O14" i="8" s="1"/>
  <c r="Q14" i="1"/>
  <c r="P15" i="1"/>
  <c r="P21" i="5"/>
  <c r="P23" i="5" s="1"/>
  <c r="O23" i="7"/>
  <c r="I20" i="8"/>
  <c r="I24" i="7" s="1"/>
  <c r="J20" i="8"/>
  <c r="J22" i="8" s="1"/>
  <c r="I17" i="9"/>
  <c r="I25" i="9" s="1"/>
  <c r="I28" i="9" s="1"/>
  <c r="I29" i="9" s="1"/>
  <c r="I16" i="7" s="1"/>
  <c r="I18" i="7" s="1"/>
  <c r="I20" i="7" s="1"/>
  <c r="J17" i="9"/>
  <c r="J25" i="9" s="1"/>
  <c r="J28" i="9" s="1"/>
  <c r="N26" i="5"/>
  <c r="N29" i="5" s="1"/>
  <c r="M13" i="7"/>
  <c r="M18" i="8" l="1"/>
  <c r="O13" i="5"/>
  <c r="O11" i="8" s="1"/>
  <c r="O12" i="8" s="1"/>
  <c r="P10" i="5"/>
  <c r="P10" i="8" s="1"/>
  <c r="P33" i="5"/>
  <c r="P17" i="7" s="1"/>
  <c r="P15" i="9" s="1"/>
  <c r="K18" i="8"/>
  <c r="K16" i="8"/>
  <c r="L16" i="9"/>
  <c r="L17" i="9" s="1"/>
  <c r="L25" i="9" s="1"/>
  <c r="L28" i="9" s="1"/>
  <c r="L20" i="8"/>
  <c r="L22" i="8" s="1"/>
  <c r="O18" i="5"/>
  <c r="O28" i="7" s="1"/>
  <c r="O14" i="9" s="1"/>
  <c r="R14" i="1"/>
  <c r="Q15" i="1"/>
  <c r="M19" i="8"/>
  <c r="M16" i="9" s="1"/>
  <c r="M11" i="9"/>
  <c r="M13" i="9" s="1"/>
  <c r="N18" i="8"/>
  <c r="N16" i="8"/>
  <c r="Q21" i="5"/>
  <c r="Q23" i="5" s="1"/>
  <c r="P23" i="7"/>
  <c r="I22" i="8"/>
  <c r="J27" i="9"/>
  <c r="J29" i="9" s="1"/>
  <c r="K27" i="9" s="1"/>
  <c r="O26" i="5"/>
  <c r="O29" i="5" s="1"/>
  <c r="N13" i="7"/>
  <c r="I25" i="7"/>
  <c r="I30" i="7" s="1"/>
  <c r="I7" i="7" s="1"/>
  <c r="J24" i="7"/>
  <c r="P15" i="5" l="1"/>
  <c r="P14" i="8" s="1"/>
  <c r="O15" i="8"/>
  <c r="O18" i="8" s="1"/>
  <c r="O13" i="8"/>
  <c r="P13" i="5"/>
  <c r="P11" i="8" s="1"/>
  <c r="K11" i="9"/>
  <c r="K13" i="9" s="1"/>
  <c r="K19" i="8"/>
  <c r="K16" i="9" s="1"/>
  <c r="Q10" i="5"/>
  <c r="Q10" i="8" s="1"/>
  <c r="Q33" i="5"/>
  <c r="Q17" i="7" s="1"/>
  <c r="Q15" i="9" s="1"/>
  <c r="P12" i="8"/>
  <c r="P13" i="8" s="1"/>
  <c r="P18" i="5"/>
  <c r="P28" i="7" s="1"/>
  <c r="P14" i="9" s="1"/>
  <c r="M17" i="9"/>
  <c r="M25" i="9" s="1"/>
  <c r="M28" i="9" s="1"/>
  <c r="N19" i="8"/>
  <c r="N16" i="9" s="1"/>
  <c r="N11" i="9"/>
  <c r="N13" i="9" s="1"/>
  <c r="O16" i="8"/>
  <c r="M20" i="8"/>
  <c r="M22" i="8" s="1"/>
  <c r="S14" i="1"/>
  <c r="R15" i="1"/>
  <c r="R21" i="5"/>
  <c r="R23" i="5" s="1"/>
  <c r="Q23" i="7"/>
  <c r="J16" i="7"/>
  <c r="J18" i="7" s="1"/>
  <c r="J20" i="7" s="1"/>
  <c r="P26" i="5"/>
  <c r="P29" i="5" s="1"/>
  <c r="O13" i="7"/>
  <c r="J25" i="7"/>
  <c r="J30" i="7" s="1"/>
  <c r="P15" i="8" l="1"/>
  <c r="P16" i="8" s="1"/>
  <c r="Q13" i="5"/>
  <c r="Q11" i="8" s="1"/>
  <c r="Q12" i="8" s="1"/>
  <c r="Q13" i="8" s="1"/>
  <c r="R10" i="5"/>
  <c r="R10" i="8" s="1"/>
  <c r="R33" i="5"/>
  <c r="R17" i="7" s="1"/>
  <c r="R15" i="9" s="1"/>
  <c r="K20" i="8"/>
  <c r="Q15" i="5"/>
  <c r="Q14" i="8" s="1"/>
  <c r="K17" i="9"/>
  <c r="K25" i="9" s="1"/>
  <c r="K28" i="9" s="1"/>
  <c r="K29" i="9" s="1"/>
  <c r="N17" i="9"/>
  <c r="N25" i="9" s="1"/>
  <c r="N28" i="9" s="1"/>
  <c r="Q18" i="5"/>
  <c r="Q28" i="7" s="1"/>
  <c r="Q14" i="9" s="1"/>
  <c r="N20" i="8"/>
  <c r="N22" i="8" s="1"/>
  <c r="T14" i="1"/>
  <c r="T15" i="1" s="1"/>
  <c r="S15" i="1"/>
  <c r="P18" i="8"/>
  <c r="R15" i="5"/>
  <c r="R14" i="8" s="1"/>
  <c r="R13" i="5"/>
  <c r="R11" i="8" s="1"/>
  <c r="O11" i="9"/>
  <c r="O13" i="9" s="1"/>
  <c r="O19" i="8"/>
  <c r="O16" i="9" s="1"/>
  <c r="S21" i="5"/>
  <c r="S23" i="5" s="1"/>
  <c r="R23" i="7"/>
  <c r="J7" i="7"/>
  <c r="Q26" i="5"/>
  <c r="Q29" i="5" s="1"/>
  <c r="P13" i="7"/>
  <c r="S10" i="5" l="1"/>
  <c r="S10" i="8" s="1"/>
  <c r="S33" i="5"/>
  <c r="S17" i="7" s="1"/>
  <c r="S15" i="9" s="1"/>
  <c r="Q15" i="8"/>
  <c r="Q16" i="8" s="1"/>
  <c r="K22" i="8"/>
  <c r="K24" i="7"/>
  <c r="T10" i="5"/>
  <c r="T10" i="8" s="1"/>
  <c r="T33" i="5"/>
  <c r="T17" i="7" s="1"/>
  <c r="T15" i="9" s="1"/>
  <c r="K16" i="7"/>
  <c r="K18" i="7" s="1"/>
  <c r="K20" i="7" s="1"/>
  <c r="L27" i="9"/>
  <c r="L29" i="9" s="1"/>
  <c r="R12" i="8"/>
  <c r="R15" i="8" s="1"/>
  <c r="R18" i="5"/>
  <c r="R28" i="7" s="1"/>
  <c r="R14" i="9" s="1"/>
  <c r="O17" i="9"/>
  <c r="O25" i="9" s="1"/>
  <c r="O28" i="9" s="1"/>
  <c r="P19" i="8"/>
  <c r="P16" i="9" s="1"/>
  <c r="P11" i="9"/>
  <c r="P13" i="9" s="1"/>
  <c r="Q18" i="8"/>
  <c r="S15" i="5"/>
  <c r="S14" i="8" s="1"/>
  <c r="S13" i="5"/>
  <c r="S11" i="8" s="1"/>
  <c r="O20" i="8"/>
  <c r="O22" i="8" s="1"/>
  <c r="R13" i="8"/>
  <c r="T13" i="5"/>
  <c r="T11" i="8" s="1"/>
  <c r="T15" i="5"/>
  <c r="T14" i="8" s="1"/>
  <c r="T21" i="5"/>
  <c r="T23" i="5" s="1"/>
  <c r="T23" i="7" s="1"/>
  <c r="S23" i="7"/>
  <c r="R26" i="5"/>
  <c r="R29" i="5" s="1"/>
  <c r="Q13" i="7"/>
  <c r="M27" i="9" l="1"/>
  <c r="M29" i="9" s="1"/>
  <c r="L16" i="7"/>
  <c r="L18" i="7" s="1"/>
  <c r="L20" i="7" s="1"/>
  <c r="K25" i="7"/>
  <c r="K30" i="7" s="1"/>
  <c r="K7" i="7" s="1"/>
  <c r="L24" i="7"/>
  <c r="T12" i="8"/>
  <c r="T13" i="8" s="1"/>
  <c r="T18" i="5"/>
  <c r="T28" i="7" s="1"/>
  <c r="S12" i="8"/>
  <c r="S13" i="8" s="1"/>
  <c r="S18" i="5"/>
  <c r="S28" i="7" s="1"/>
  <c r="S14" i="9" s="1"/>
  <c r="P20" i="8"/>
  <c r="P22" i="8" s="1"/>
  <c r="P17" i="9"/>
  <c r="P25" i="9" s="1"/>
  <c r="P28" i="9" s="1"/>
  <c r="R18" i="8"/>
  <c r="R16" i="8"/>
  <c r="T15" i="8"/>
  <c r="Q11" i="9"/>
  <c r="Q13" i="9" s="1"/>
  <c r="Q19" i="8"/>
  <c r="Q16" i="9" s="1"/>
  <c r="S26" i="5"/>
  <c r="S29" i="5" s="1"/>
  <c r="R13" i="7"/>
  <c r="S15" i="8" l="1"/>
  <c r="M24" i="7"/>
  <c r="L25" i="7"/>
  <c r="L30" i="7" s="1"/>
  <c r="L7" i="7" s="1"/>
  <c r="T14" i="9"/>
  <c r="M16" i="7"/>
  <c r="M18" i="7" s="1"/>
  <c r="M20" i="7" s="1"/>
  <c r="N27" i="9"/>
  <c r="N29" i="9" s="1"/>
  <c r="Q17" i="9"/>
  <c r="Q25" i="9" s="1"/>
  <c r="Q28" i="9" s="1"/>
  <c r="R11" i="9"/>
  <c r="R13" i="9" s="1"/>
  <c r="R19" i="8"/>
  <c r="R16" i="9" s="1"/>
  <c r="T18" i="8"/>
  <c r="T16" i="8"/>
  <c r="S18" i="8"/>
  <c r="S16" i="8"/>
  <c r="Q20" i="8"/>
  <c r="Q22" i="8" s="1"/>
  <c r="T26" i="5"/>
  <c r="T29" i="5" s="1"/>
  <c r="T13" i="7" s="1"/>
  <c r="S13" i="7"/>
  <c r="N16" i="7" l="1"/>
  <c r="N18" i="7" s="1"/>
  <c r="N20" i="7" s="1"/>
  <c r="O27" i="9"/>
  <c r="O29" i="9" s="1"/>
  <c r="N24" i="7"/>
  <c r="M25" i="7"/>
  <c r="M30" i="7" s="1"/>
  <c r="M7" i="7" s="1"/>
  <c r="R20" i="8"/>
  <c r="R22" i="8" s="1"/>
  <c r="R17" i="9"/>
  <c r="R25" i="9" s="1"/>
  <c r="R28" i="9" s="1"/>
  <c r="S19" i="8"/>
  <c r="S16" i="9" s="1"/>
  <c r="S11" i="9"/>
  <c r="S13" i="9" s="1"/>
  <c r="T11" i="9"/>
  <c r="T13" i="9" s="1"/>
  <c r="T19" i="8"/>
  <c r="T16" i="9" s="1"/>
  <c r="N25" i="7" l="1"/>
  <c r="N30" i="7" s="1"/>
  <c r="N7" i="7" s="1"/>
  <c r="O24" i="7"/>
  <c r="P27" i="9"/>
  <c r="P29" i="9" s="1"/>
  <c r="O16" i="7"/>
  <c r="O18" i="7" s="1"/>
  <c r="O20" i="7" s="1"/>
  <c r="S17" i="9"/>
  <c r="S25" i="9" s="1"/>
  <c r="S28" i="9" s="1"/>
  <c r="T20" i="8"/>
  <c r="T22" i="8" s="1"/>
  <c r="T17" i="9"/>
  <c r="T25" i="9" s="1"/>
  <c r="T28" i="9" s="1"/>
  <c r="S20" i="8"/>
  <c r="S22" i="8" s="1"/>
  <c r="Q27" i="9" l="1"/>
  <c r="Q29" i="9" s="1"/>
  <c r="P16" i="7"/>
  <c r="P18" i="7" s="1"/>
  <c r="P20" i="7" s="1"/>
  <c r="P24" i="7"/>
  <c r="O25" i="7"/>
  <c r="O30" i="7" s="1"/>
  <c r="O7" i="7" s="1"/>
  <c r="Q24" i="7" l="1"/>
  <c r="P25" i="7"/>
  <c r="P30" i="7" s="1"/>
  <c r="P7" i="7" s="1"/>
  <c r="Q16" i="7"/>
  <c r="Q18" i="7" s="1"/>
  <c r="Q20" i="7" s="1"/>
  <c r="R27" i="9"/>
  <c r="R29" i="9" s="1"/>
  <c r="S27" i="9" l="1"/>
  <c r="S29" i="9" s="1"/>
  <c r="R16" i="7"/>
  <c r="R18" i="7" s="1"/>
  <c r="R20" i="7" s="1"/>
  <c r="R24" i="7"/>
  <c r="Q25" i="7"/>
  <c r="Q30" i="7" s="1"/>
  <c r="Q7" i="7" s="1"/>
  <c r="S24" i="7" l="1"/>
  <c r="R25" i="7"/>
  <c r="R30" i="7" s="1"/>
  <c r="R7" i="7" s="1"/>
  <c r="T27" i="9"/>
  <c r="T29" i="9" s="1"/>
  <c r="T16" i="7" s="1"/>
  <c r="T18" i="7" s="1"/>
  <c r="T20" i="7" s="1"/>
  <c r="S16" i="7"/>
  <c r="S18" i="7" s="1"/>
  <c r="S20" i="7" s="1"/>
  <c r="T24" i="7" l="1"/>
  <c r="T25" i="7" s="1"/>
  <c r="T30" i="7" s="1"/>
  <c r="T7" i="7" s="1"/>
  <c r="S25" i="7"/>
  <c r="S30" i="7" s="1"/>
  <c r="S7" i="7" s="1"/>
</calcChain>
</file>

<file path=xl/sharedStrings.xml><?xml version="1.0" encoding="utf-8"?>
<sst xmlns="http://schemas.openxmlformats.org/spreadsheetml/2006/main" count="170" uniqueCount="133">
  <si>
    <t>Model Guide</t>
  </si>
  <si>
    <t>Model Details</t>
  </si>
  <si>
    <t>Company Information</t>
  </si>
  <si>
    <t>Company Name</t>
  </si>
  <si>
    <t>Model Purpose</t>
  </si>
  <si>
    <t>Industry</t>
  </si>
  <si>
    <t>Business Location</t>
  </si>
  <si>
    <t>Model Structure &amp; Navigation</t>
  </si>
  <si>
    <t>Timings</t>
  </si>
  <si>
    <t>Model Period</t>
  </si>
  <si>
    <t>Start Date</t>
  </si>
  <si>
    <t>Days in a year</t>
  </si>
  <si>
    <t>Months in a year</t>
  </si>
  <si>
    <t>Days in a month</t>
  </si>
  <si>
    <t>Sheet Structure</t>
  </si>
  <si>
    <t>Cover</t>
  </si>
  <si>
    <t>Guide Sheet</t>
  </si>
  <si>
    <t>Assumptions</t>
  </si>
  <si>
    <t>Calculations</t>
  </si>
  <si>
    <t>Income Statement</t>
  </si>
  <si>
    <t>Balance Sheet</t>
  </si>
  <si>
    <t>Cashflow Statement</t>
  </si>
  <si>
    <t>Model Style Guide</t>
  </si>
  <si>
    <t>Input cells</t>
  </si>
  <si>
    <t xml:space="preserve"> </t>
  </si>
  <si>
    <t>Linked Cells</t>
  </si>
  <si>
    <t>Formula cells/Normal Style</t>
  </si>
  <si>
    <t>Percent cells</t>
  </si>
  <si>
    <t>Multiples cells</t>
  </si>
  <si>
    <t>Subtotal cells</t>
  </si>
  <si>
    <t>Total cells</t>
  </si>
  <si>
    <t>FLAG: TRUE(1)</t>
  </si>
  <si>
    <t>FLAG: FALSE(0)</t>
  </si>
  <si>
    <t>Blank cells</t>
  </si>
  <si>
    <t xml:space="preserve">Title </t>
  </si>
  <si>
    <t>Subtitle</t>
  </si>
  <si>
    <t>Heading 1</t>
  </si>
  <si>
    <t>Heading 2</t>
  </si>
  <si>
    <t>Table Headers</t>
  </si>
  <si>
    <t>UBER</t>
  </si>
  <si>
    <t>Model</t>
  </si>
  <si>
    <t xml:space="preserve">Heading </t>
  </si>
  <si>
    <t>Heading</t>
  </si>
  <si>
    <t>End Date</t>
  </si>
  <si>
    <t>Description</t>
  </si>
  <si>
    <t>Value</t>
  </si>
  <si>
    <t>₦</t>
  </si>
  <si>
    <t xml:space="preserve">Revenue </t>
  </si>
  <si>
    <t>Operating Expenses</t>
  </si>
  <si>
    <t>As  percentage of Revenue</t>
  </si>
  <si>
    <t>Tax Rate</t>
  </si>
  <si>
    <t>Payables</t>
  </si>
  <si>
    <t>Equity / Capital</t>
  </si>
  <si>
    <t>Percentage of OPEX payable in 30days</t>
  </si>
  <si>
    <t>Building</t>
  </si>
  <si>
    <t>Depreciation</t>
  </si>
  <si>
    <t>Payable Days</t>
  </si>
  <si>
    <t>In days</t>
  </si>
  <si>
    <t>30days</t>
  </si>
  <si>
    <t xml:space="preserve">Funding </t>
  </si>
  <si>
    <t>Debt</t>
  </si>
  <si>
    <t>Capital Expenditure</t>
  </si>
  <si>
    <t>Useful Life of Building</t>
  </si>
  <si>
    <t>Retained Earnings</t>
  </si>
  <si>
    <t>Dividend payout</t>
  </si>
  <si>
    <t>Retention Rate</t>
  </si>
  <si>
    <t>Opening Cash</t>
  </si>
  <si>
    <t xml:space="preserve">Tax </t>
  </si>
  <si>
    <t>Additional CAPEX</t>
  </si>
  <si>
    <t>Additional Funding</t>
  </si>
  <si>
    <t>Revenue</t>
  </si>
  <si>
    <t>Working Capital Schedule</t>
  </si>
  <si>
    <t>Equity Capital Schedule</t>
  </si>
  <si>
    <t>Opening Capital</t>
  </si>
  <si>
    <t>Additional Capital</t>
  </si>
  <si>
    <t>Closing Balance</t>
  </si>
  <si>
    <t>CAPEX Schedule</t>
  </si>
  <si>
    <t>Opening Balance</t>
  </si>
  <si>
    <t>Less Depreciation</t>
  </si>
  <si>
    <t>Gross Profit</t>
  </si>
  <si>
    <t>Operating profit</t>
  </si>
  <si>
    <t>Profit Before Tax</t>
  </si>
  <si>
    <t>Tax</t>
  </si>
  <si>
    <t>Assets</t>
  </si>
  <si>
    <t>Non Current Asset</t>
  </si>
  <si>
    <t>Current Asset</t>
  </si>
  <si>
    <t>Cash</t>
  </si>
  <si>
    <t>Equity</t>
  </si>
  <si>
    <t>Shareholders Equity</t>
  </si>
  <si>
    <t>Retained Eearnings</t>
  </si>
  <si>
    <t>Total Equity</t>
  </si>
  <si>
    <t>Liabilities</t>
  </si>
  <si>
    <t>Total Assets</t>
  </si>
  <si>
    <t>Add Depreciation</t>
  </si>
  <si>
    <t>Operating Profit</t>
  </si>
  <si>
    <t>Less Taxes</t>
  </si>
  <si>
    <t>Change in payables</t>
  </si>
  <si>
    <t>Operating Cashflow</t>
  </si>
  <si>
    <t xml:space="preserve">Building </t>
  </si>
  <si>
    <t>Investing Cashflow</t>
  </si>
  <si>
    <t>Shareholders' Equity</t>
  </si>
  <si>
    <t>Financing Cashflow</t>
  </si>
  <si>
    <t>Cash Generated At the End of Each Month</t>
  </si>
  <si>
    <t>Cash Generated In the Month</t>
  </si>
  <si>
    <t>Closing Cash</t>
  </si>
  <si>
    <t>Profit or Loss Statement</t>
  </si>
  <si>
    <t>CHECK</t>
  </si>
  <si>
    <t>Gross Profit Margin</t>
  </si>
  <si>
    <t>Operating Profit Margin</t>
  </si>
  <si>
    <t>Net Profit Margin</t>
  </si>
  <si>
    <t>Net Profit</t>
  </si>
  <si>
    <t xml:space="preserve">One Year Financial Model </t>
  </si>
  <si>
    <t>Head</t>
  </si>
  <si>
    <t>Total Equity &amp; Liability</t>
  </si>
  <si>
    <t>AirBnB</t>
  </si>
  <si>
    <t>Business Expansion</t>
  </si>
  <si>
    <t>Rivers State,Nigeria</t>
  </si>
  <si>
    <t>Real Estate</t>
  </si>
  <si>
    <t>Cost of Goods Sols</t>
  </si>
  <si>
    <t>COGS</t>
  </si>
  <si>
    <t>Number of Buildings</t>
  </si>
  <si>
    <t>Average Number of Rooms Per Building</t>
  </si>
  <si>
    <t>Average Occupancy Rate</t>
  </si>
  <si>
    <t>Building Monthly Additions in First 6months(H1)</t>
  </si>
  <si>
    <t>Building Monthly Additions in Second 6months(H2)</t>
  </si>
  <si>
    <t>Price per Room</t>
  </si>
  <si>
    <t>Number of Rooms</t>
  </si>
  <si>
    <t>Cost of Goods Sold</t>
  </si>
  <si>
    <t>Inventories</t>
  </si>
  <si>
    <t>Inentories Growth Rate</t>
  </si>
  <si>
    <t>Inventory</t>
  </si>
  <si>
    <t>Total Current Asset</t>
  </si>
  <si>
    <t>Less Change in Inventories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</si>
</sst>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&quot;₦&quot;#,##0.00_);[Red]\(&quot;₦&quot;#,##0.00\)"/>
    <numFmt numFmtId="165" formatCode="_(&quot;₦&quot;* #,##0.00_);_(&quot;₦&quot;* \(#,##0.00\);_(&quot;₦&quot;* &quot;-&quot;??_);_(@_)"/>
    <numFmt numFmtId="166" formatCode="0\x"/>
    <numFmt numFmtId="167" formatCode="0;\-0;\-"/>
    <numFmt numFmtId="168" formatCode="0&quot;Months&quot;"/>
    <numFmt numFmtId="169" formatCode="[$-409]mmm\-yy;@"/>
    <numFmt numFmtId="170" formatCode="0&quot;Years&quot;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0"/>
      <name val="Calibri Light"/>
      <family val="2"/>
      <scheme val="major"/>
    </font>
    <font>
      <b/>
      <sz val="14"/>
      <color rgb="FFC00000"/>
      <name val="Calibri"/>
      <family val="2"/>
      <scheme val="minor"/>
    </font>
    <font>
      <sz val="11"/>
      <color theme="1"/>
      <name val="Calibri"/>
      <family val="2"/>
    </font>
    <font>
      <i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gray0625">
        <bgColor rgb="FF00B050"/>
      </patternFill>
    </fill>
    <fill>
      <patternFill patternType="mediumGray">
        <fgColor theme="2" tint="-0.499984740745262"/>
        <bgColor indexed="65"/>
      </patternFill>
    </fill>
    <fill>
      <patternFill patternType="solid">
        <fgColor theme="5" tint="-0.2499465926084170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double">
        <color rgb="FFFF8001"/>
      </top>
      <bottom style="double">
        <color rgb="FFFF800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theme="4"/>
      </top>
      <bottom style="thick">
        <color theme="4"/>
      </bottom>
      <diagonal/>
    </border>
  </borders>
  <cellStyleXfs count="18">
    <xf numFmtId="0" fontId="0" fillId="0" borderId="0"/>
    <xf numFmtId="0" fontId="10" fillId="6" borderId="0" applyNumberFormat="0" applyBorder="0" applyAlignment="0" applyProtection="0"/>
    <xf numFmtId="0" fontId="11" fillId="0" borderId="0" applyNumberFormat="0" applyFill="0" applyAlignment="0" applyProtection="0"/>
    <xf numFmtId="0" fontId="2" fillId="0" borderId="1" applyNumberFormat="0" applyFill="0" applyAlignment="0" applyProtection="0"/>
    <xf numFmtId="0" fontId="3" fillId="3" borderId="2" applyNumberFormat="0" applyAlignment="0" applyProtection="0"/>
    <xf numFmtId="0" fontId="4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10" fontId="8" fillId="2" borderId="0" applyFill="0" applyAlignment="0" applyProtection="0"/>
    <xf numFmtId="166" fontId="1" fillId="0" borderId="0" applyFont="0" applyFill="0" applyBorder="0" applyAlignment="0" applyProtection="0"/>
    <xf numFmtId="0" fontId="1" fillId="0" borderId="4" applyNumberFormat="0" applyFont="0" applyFill="0" applyAlignment="0" applyProtection="0"/>
    <xf numFmtId="167" fontId="5" fillId="4" borderId="0">
      <alignment horizontal="center"/>
    </xf>
    <xf numFmtId="0" fontId="1" fillId="5" borderId="0" applyNumberFormat="0" applyFont="0" applyBorder="0" applyAlignment="0" applyProtection="0"/>
    <xf numFmtId="0" fontId="9" fillId="0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3" borderId="2" xfId="4"/>
    <xf numFmtId="0" fontId="4" fillId="0" borderId="3" xfId="5"/>
    <xf numFmtId="10" fontId="8" fillId="0" borderId="0" xfId="8" applyFill="1"/>
    <xf numFmtId="166" fontId="0" fillId="0" borderId="0" xfId="9" applyFont="1"/>
    <xf numFmtId="0" fontId="0" fillId="0" borderId="4" xfId="10" applyFont="1"/>
    <xf numFmtId="0" fontId="7" fillId="0" borderId="5" xfId="7"/>
    <xf numFmtId="167" fontId="5" fillId="4" borderId="0" xfId="11">
      <alignment horizontal="center"/>
    </xf>
    <xf numFmtId="0" fontId="0" fillId="5" borderId="0" xfId="12" applyFont="1"/>
    <xf numFmtId="0" fontId="10" fillId="6" borderId="0" xfId="1"/>
    <xf numFmtId="0" fontId="9" fillId="0" borderId="0" xfId="13"/>
    <xf numFmtId="0" fontId="11" fillId="0" borderId="0" xfId="2"/>
    <xf numFmtId="0" fontId="2" fillId="0" borderId="1" xfId="3"/>
    <xf numFmtId="168" fontId="3" fillId="3" borderId="2" xfId="4" applyNumberFormat="1"/>
    <xf numFmtId="17" fontId="3" fillId="3" borderId="2" xfId="4" applyNumberFormat="1"/>
    <xf numFmtId="0" fontId="12" fillId="0" borderId="0" xfId="0" applyFont="1"/>
    <xf numFmtId="165" fontId="0" fillId="0" borderId="0" xfId="0" applyNumberFormat="1"/>
    <xf numFmtId="165" fontId="12" fillId="0" borderId="0" xfId="0" applyNumberFormat="1" applyFont="1"/>
    <xf numFmtId="170" fontId="0" fillId="0" borderId="0" xfId="0" applyNumberFormat="1"/>
    <xf numFmtId="0" fontId="6" fillId="0" borderId="0" xfId="6"/>
    <xf numFmtId="169" fontId="2" fillId="0" borderId="1" xfId="3" applyNumberFormat="1"/>
    <xf numFmtId="169" fontId="4" fillId="0" borderId="3" xfId="5" applyNumberFormat="1"/>
    <xf numFmtId="0" fontId="7" fillId="0" borderId="0" xfId="0" applyFont="1"/>
    <xf numFmtId="0" fontId="14" fillId="2" borderId="0" xfId="15"/>
    <xf numFmtId="10" fontId="0" fillId="0" borderId="0" xfId="0" applyNumberFormat="1"/>
    <xf numFmtId="165" fontId="7" fillId="0" borderId="5" xfId="7" applyNumberFormat="1"/>
    <xf numFmtId="164" fontId="0" fillId="0" borderId="0" xfId="0" applyNumberFormat="1"/>
    <xf numFmtId="165" fontId="7" fillId="0" borderId="0" xfId="0" applyNumberFormat="1" applyFont="1"/>
    <xf numFmtId="165" fontId="0" fillId="0" borderId="4" xfId="1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left" vertical="top"/>
    </xf>
    <xf numFmtId="165" fontId="0" fillId="0" borderId="4" xfId="10" applyNumberFormat="1" applyFont="1" applyAlignment="1">
      <alignment horizontal="left" vertical="top"/>
    </xf>
    <xf numFmtId="165" fontId="7" fillId="0" borderId="5" xfId="7" applyNumberFormat="1" applyAlignment="1">
      <alignment horizontal="left" vertical="top"/>
    </xf>
    <xf numFmtId="9" fontId="8" fillId="0" borderId="0" xfId="8" applyNumberFormat="1" applyFill="1"/>
    <xf numFmtId="0" fontId="15" fillId="0" borderId="0" xfId="0" applyFont="1"/>
    <xf numFmtId="9" fontId="8" fillId="0" borderId="4" xfId="8" applyNumberFormat="1" applyFill="1" applyBorder="1"/>
    <xf numFmtId="165" fontId="7" fillId="0" borderId="4" xfId="10" applyNumberFormat="1" applyFont="1"/>
    <xf numFmtId="169" fontId="9" fillId="0" borderId="0" xfId="13" applyNumberFormat="1"/>
    <xf numFmtId="14" fontId="0" fillId="0" borderId="0" xfId="0" applyNumberFormat="1"/>
    <xf numFmtId="9" fontId="0" fillId="0" borderId="0" xfId="17" applyFont="1"/>
    <xf numFmtId="165" fontId="0" fillId="0" borderId="0" xfId="16" applyNumberFormat="1" applyFont="1"/>
  </cellXfs>
  <cellStyles count="18">
    <cellStyle name="Blank" xfId="12" xr:uid="{FFBD44B2-7D35-428F-A748-69AEF85256DD}"/>
    <cellStyle name="Comma" xfId="16" builtinId="3"/>
    <cellStyle name="Explanatory Text" xfId="6" builtinId="53"/>
    <cellStyle name="FLAG (TRUE)" xfId="11" xr:uid="{8398C4F9-DD92-42C9-8AF7-EF70DC9CE0C3}"/>
    <cellStyle name="Heading 1" xfId="2" builtinId="16" customBuiltin="1"/>
    <cellStyle name="Heading 2" xfId="3" builtinId="17"/>
    <cellStyle name="Input" xfId="4" builtinId="20" customBuiltin="1"/>
    <cellStyle name="Linked Cell" xfId="5" builtinId="24" customBuiltin="1"/>
    <cellStyle name="Mulitples" xfId="9" xr:uid="{546E8EF5-DA28-4B70-A6E5-308B361912B8}"/>
    <cellStyle name="Normal" xfId="0" builtinId="0"/>
    <cellStyle name="Percent" xfId="17" builtinId="5"/>
    <cellStyle name="Percentage" xfId="8" xr:uid="{D2B84D79-A36D-4B76-89E2-59229336F988}"/>
    <cellStyle name="Subtitle" xfId="13" xr:uid="{79D2A258-8D8C-4CAB-8211-C21C71B0478B}"/>
    <cellStyle name="Subtotal" xfId="10" xr:uid="{99978C64-51E7-435C-96EA-97F6474A4E43}"/>
    <cellStyle name="Table Heading" xfId="15" xr:uid="{49EFA91E-75D1-4CA8-92AA-0BF6FE3EAE71}"/>
    <cellStyle name="Title" xfId="1" builtinId="15" customBuiltin="1"/>
    <cellStyle name="Total" xfId="7" builtinId="25" customBuiltin="1"/>
    <cellStyle name="Units" xfId="14" xr:uid="{A70C295A-8CE9-417F-8E18-56134C24E605}"/>
  </cellStyles>
  <dxfs count="1">
    <dxf>
      <font>
        <b/>
        <i val="0"/>
        <color theme="0"/>
      </font>
      <fill>
        <patternFill patternType="darkGray">
          <f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34FAB-C81A-4063-89F9-AD153F10FA0D}">
  <sheetPr codeName="Sheet1"/>
  <dimension ref="A9:J11"/>
  <sheetViews>
    <sheetView showGridLines="0" workbookViewId="0">
      <selection activeCell="I12" sqref="I12"/>
    </sheetView>
  </sheetViews>
  <sheetFormatPr defaultColWidth="0" defaultRowHeight="14.4" x14ac:dyDescent="0.3"/>
  <cols>
    <col min="1" max="4" width="8.77734375" customWidth="1"/>
    <col min="5" max="5" width="10.44140625" bestFit="1" customWidth="1"/>
    <col min="6" max="10" width="8.77734375" customWidth="1"/>
    <col min="11" max="16384" width="8.77734375" hidden="1"/>
  </cols>
  <sheetData>
    <row r="9" spans="5:6" ht="25.8" x14ac:dyDescent="0.5">
      <c r="E9" s="9" t="str">
        <f>Company</f>
        <v>AirBnB</v>
      </c>
      <c r="F9" s="9"/>
    </row>
    <row r="10" spans="5:6" ht="18" x14ac:dyDescent="0.35">
      <c r="E10" s="37" t="s">
        <v>111</v>
      </c>
    </row>
    <row r="11" spans="5:6" x14ac:dyDescent="0.3">
      <c r="E11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22FB9-895C-49A5-9E80-E1300D485BD5}">
  <sheetPr codeName="Sheet2">
    <outlinePr summaryBelow="0" summaryRight="0"/>
  </sheetPr>
  <dimension ref="A1:J65"/>
  <sheetViews>
    <sheetView showGridLines="0" topLeftCell="A68" workbookViewId="0">
      <selection activeCell="K1" sqref="K1:XFD1048576"/>
    </sheetView>
  </sheetViews>
  <sheetFormatPr defaultColWidth="0" defaultRowHeight="14.4" outlineLevelRow="3" x14ac:dyDescent="0.3"/>
  <cols>
    <col min="1" max="3" width="2" customWidth="1"/>
    <col min="4" max="4" width="23.33203125" bestFit="1" customWidth="1"/>
    <col min="5" max="5" width="19" bestFit="1" customWidth="1"/>
    <col min="6" max="10" width="8.77734375" customWidth="1"/>
    <col min="11" max="16384" width="8.77734375" hidden="1"/>
  </cols>
  <sheetData>
    <row r="1" spans="2:7" ht="6" customHeight="1" x14ac:dyDescent="0.3"/>
    <row r="2" spans="2:7" ht="32.549999999999997" customHeight="1" x14ac:dyDescent="0.5">
      <c r="B2" s="9" t="str">
        <f>Company</f>
        <v>AirBnB</v>
      </c>
      <c r="C2" s="9"/>
      <c r="D2" s="9"/>
      <c r="E2" s="9"/>
      <c r="F2" s="9"/>
      <c r="G2" s="9"/>
    </row>
    <row r="3" spans="2:7" ht="18" x14ac:dyDescent="0.35">
      <c r="B3" s="10" t="s">
        <v>0</v>
      </c>
      <c r="C3" s="10"/>
      <c r="D3" s="10"/>
    </row>
    <row r="5" spans="2:7" ht="18" outlineLevel="1" x14ac:dyDescent="0.35">
      <c r="B5" s="11" t="s">
        <v>1</v>
      </c>
      <c r="C5" s="11"/>
      <c r="D5" s="11"/>
    </row>
    <row r="6" spans="2:7" outlineLevel="1" x14ac:dyDescent="0.3"/>
    <row r="7" spans="2:7" ht="18" outlineLevel="2" thickBot="1" x14ac:dyDescent="0.4">
      <c r="C7" s="12" t="s">
        <v>2</v>
      </c>
      <c r="D7" s="12"/>
    </row>
    <row r="8" spans="2:7" ht="15" outlineLevel="3" thickTop="1" x14ac:dyDescent="0.3">
      <c r="D8" t="s">
        <v>3</v>
      </c>
      <c r="E8" s="1" t="s">
        <v>114</v>
      </c>
    </row>
    <row r="9" spans="2:7" outlineLevel="3" x14ac:dyDescent="0.3">
      <c r="D9" t="s">
        <v>4</v>
      </c>
      <c r="E9" s="1" t="s">
        <v>115</v>
      </c>
    </row>
    <row r="10" spans="2:7" outlineLevel="3" x14ac:dyDescent="0.3">
      <c r="D10" t="s">
        <v>5</v>
      </c>
      <c r="E10" s="1" t="s">
        <v>117</v>
      </c>
    </row>
    <row r="11" spans="2:7" outlineLevel="3" x14ac:dyDescent="0.3">
      <c r="D11" t="s">
        <v>6</v>
      </c>
      <c r="E11" s="1" t="s">
        <v>116</v>
      </c>
    </row>
    <row r="13" spans="2:7" ht="18" outlineLevel="1" x14ac:dyDescent="0.35">
      <c r="B13" s="11" t="s">
        <v>7</v>
      </c>
      <c r="C13" s="11"/>
      <c r="D13" s="11"/>
    </row>
    <row r="14" spans="2:7" ht="18" outlineLevel="2" thickBot="1" x14ac:dyDescent="0.4">
      <c r="C14" s="12" t="s">
        <v>8</v>
      </c>
      <c r="D14" s="12"/>
    </row>
    <row r="15" spans="2:7" ht="15" outlineLevel="3" thickTop="1" x14ac:dyDescent="0.3">
      <c r="D15" t="s">
        <v>9</v>
      </c>
      <c r="E15" s="13">
        <v>12</v>
      </c>
    </row>
    <row r="16" spans="2:7" outlineLevel="3" x14ac:dyDescent="0.3">
      <c r="D16" t="s">
        <v>10</v>
      </c>
      <c r="E16" s="14">
        <v>44866</v>
      </c>
    </row>
    <row r="17" spans="3:5" outlineLevel="3" x14ac:dyDescent="0.3">
      <c r="D17" t="s">
        <v>43</v>
      </c>
      <c r="E17" s="14">
        <f>EOMONTH(E16,E15-1)</f>
        <v>45230</v>
      </c>
    </row>
    <row r="18" spans="3:5" outlineLevel="3" x14ac:dyDescent="0.3">
      <c r="D18" t="s">
        <v>11</v>
      </c>
      <c r="E18" s="1">
        <v>365</v>
      </c>
    </row>
    <row r="19" spans="3:5" outlineLevel="3" x14ac:dyDescent="0.3">
      <c r="D19" t="s">
        <v>12</v>
      </c>
      <c r="E19" s="1">
        <v>12</v>
      </c>
    </row>
    <row r="20" spans="3:5" outlineLevel="3" x14ac:dyDescent="0.3">
      <c r="D20" t="s">
        <v>13</v>
      </c>
      <c r="E20" s="1">
        <v>30</v>
      </c>
    </row>
    <row r="21" spans="3:5" outlineLevel="1" x14ac:dyDescent="0.3"/>
    <row r="22" spans="3:5" outlineLevel="1" x14ac:dyDescent="0.3"/>
    <row r="23" spans="3:5" outlineLevel="1" x14ac:dyDescent="0.3"/>
    <row r="24" spans="3:5" ht="18" outlineLevel="2" thickBot="1" x14ac:dyDescent="0.4">
      <c r="C24" s="12" t="s">
        <v>14</v>
      </c>
      <c r="D24" s="12"/>
    </row>
    <row r="25" spans="3:5" ht="15" outlineLevel="3" thickTop="1" x14ac:dyDescent="0.3">
      <c r="D25" t="s">
        <v>15</v>
      </c>
    </row>
    <row r="26" spans="3:5" outlineLevel="3" x14ac:dyDescent="0.3">
      <c r="D26" t="s">
        <v>16</v>
      </c>
    </row>
    <row r="27" spans="3:5" outlineLevel="3" x14ac:dyDescent="0.3">
      <c r="D27" t="s">
        <v>17</v>
      </c>
    </row>
    <row r="28" spans="3:5" outlineLevel="3" x14ac:dyDescent="0.3">
      <c r="D28" t="s">
        <v>18</v>
      </c>
    </row>
    <row r="29" spans="3:5" outlineLevel="3" x14ac:dyDescent="0.3">
      <c r="D29" t="s">
        <v>19</v>
      </c>
    </row>
    <row r="30" spans="3:5" outlineLevel="3" x14ac:dyDescent="0.3">
      <c r="D30" t="s">
        <v>20</v>
      </c>
    </row>
    <row r="31" spans="3:5" outlineLevel="3" x14ac:dyDescent="0.3">
      <c r="D31" t="s">
        <v>21</v>
      </c>
    </row>
    <row r="32" spans="3:5" outlineLevel="1" x14ac:dyDescent="0.3"/>
    <row r="33" spans="2:5" ht="18" outlineLevel="1" x14ac:dyDescent="0.35">
      <c r="B33" s="11" t="s">
        <v>22</v>
      </c>
      <c r="C33" s="11"/>
      <c r="D33" s="11"/>
    </row>
    <row r="34" spans="2:5" outlineLevel="2" x14ac:dyDescent="0.3">
      <c r="D34" t="s">
        <v>23</v>
      </c>
      <c r="E34" s="1">
        <v>7</v>
      </c>
    </row>
    <row r="35" spans="2:5" ht="15" outlineLevel="2" thickBot="1" x14ac:dyDescent="0.35">
      <c r="D35" t="s">
        <v>24</v>
      </c>
    </row>
    <row r="36" spans="2:5" ht="15.6" outlineLevel="2" thickTop="1" thickBot="1" x14ac:dyDescent="0.35">
      <c r="D36" t="s">
        <v>25</v>
      </c>
      <c r="E36" s="2"/>
    </row>
    <row r="37" spans="2:5" ht="15" outlineLevel="2" thickTop="1" x14ac:dyDescent="0.3"/>
    <row r="38" spans="2:5" outlineLevel="2" x14ac:dyDescent="0.3">
      <c r="D38" t="s">
        <v>26</v>
      </c>
    </row>
    <row r="39" spans="2:5" outlineLevel="2" x14ac:dyDescent="0.3"/>
    <row r="40" spans="2:5" outlineLevel="2" x14ac:dyDescent="0.3">
      <c r="D40" t="s">
        <v>27</v>
      </c>
      <c r="E40" s="3">
        <v>3.5000000000000001E-3</v>
      </c>
    </row>
    <row r="41" spans="2:5" outlineLevel="2" x14ac:dyDescent="0.3"/>
    <row r="42" spans="2:5" outlineLevel="2" x14ac:dyDescent="0.3">
      <c r="D42" t="s">
        <v>28</v>
      </c>
      <c r="E42" s="4">
        <v>5</v>
      </c>
    </row>
    <row r="43" spans="2:5" ht="15" outlineLevel="2" thickBot="1" x14ac:dyDescent="0.35"/>
    <row r="44" spans="2:5" outlineLevel="2" x14ac:dyDescent="0.3">
      <c r="D44" t="s">
        <v>29</v>
      </c>
      <c r="E44" s="5">
        <v>67</v>
      </c>
    </row>
    <row r="45" spans="2:5" outlineLevel="2" x14ac:dyDescent="0.3"/>
    <row r="46" spans="2:5" ht="15" outlineLevel="2" thickBot="1" x14ac:dyDescent="0.35">
      <c r="D46" t="s">
        <v>30</v>
      </c>
      <c r="E46" s="6">
        <v>6778</v>
      </c>
    </row>
    <row r="47" spans="2:5" ht="15" outlineLevel="2" thickTop="1" x14ac:dyDescent="0.3"/>
    <row r="48" spans="2:5" outlineLevel="2" x14ac:dyDescent="0.3">
      <c r="D48" t="s">
        <v>31</v>
      </c>
      <c r="E48" s="7"/>
    </row>
    <row r="49" spans="4:5" outlineLevel="2" x14ac:dyDescent="0.3"/>
    <row r="50" spans="4:5" outlineLevel="2" x14ac:dyDescent="0.3">
      <c r="D50" t="s">
        <v>32</v>
      </c>
      <c r="E50" s="7"/>
    </row>
    <row r="51" spans="4:5" outlineLevel="2" x14ac:dyDescent="0.3"/>
    <row r="52" spans="4:5" outlineLevel="2" x14ac:dyDescent="0.3">
      <c r="D52" t="s">
        <v>33</v>
      </c>
      <c r="E52" s="8"/>
    </row>
    <row r="53" spans="4:5" outlineLevel="2" x14ac:dyDescent="0.3"/>
    <row r="54" spans="4:5" ht="25.8" outlineLevel="2" x14ac:dyDescent="0.5">
      <c r="D54" t="s">
        <v>34</v>
      </c>
      <c r="E54" s="9" t="s">
        <v>39</v>
      </c>
    </row>
    <row r="55" spans="4:5" outlineLevel="2" x14ac:dyDescent="0.3"/>
    <row r="56" spans="4:5" ht="18" outlineLevel="2" x14ac:dyDescent="0.35">
      <c r="D56" t="s">
        <v>35</v>
      </c>
      <c r="E56" s="10" t="s">
        <v>40</v>
      </c>
    </row>
    <row r="57" spans="4:5" outlineLevel="2" x14ac:dyDescent="0.3"/>
    <row r="58" spans="4:5" ht="18" outlineLevel="2" x14ac:dyDescent="0.35">
      <c r="D58" t="s">
        <v>36</v>
      </c>
      <c r="E58" s="11" t="s">
        <v>41</v>
      </c>
    </row>
    <row r="59" spans="4:5" outlineLevel="2" x14ac:dyDescent="0.3"/>
    <row r="60" spans="4:5" ht="18" outlineLevel="2" thickBot="1" x14ac:dyDescent="0.4">
      <c r="D60" t="s">
        <v>37</v>
      </c>
      <c r="E60" s="12" t="s">
        <v>42</v>
      </c>
    </row>
    <row r="61" spans="4:5" ht="15" outlineLevel="2" thickTop="1" x14ac:dyDescent="0.3"/>
    <row r="62" spans="4:5" ht="15.6" outlineLevel="2" x14ac:dyDescent="0.3">
      <c r="D62" t="s">
        <v>38</v>
      </c>
      <c r="E62" s="23" t="s">
        <v>112</v>
      </c>
    </row>
    <row r="63" spans="4:5" outlineLevel="1" x14ac:dyDescent="0.3"/>
    <row r="64" spans="4:5" outlineLevel="1" x14ac:dyDescent="0.3"/>
    <row r="65" outlineLevel="1" x14ac:dyDescent="0.3"/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CE51-59D2-40B9-8436-B6E5789BBD6D}">
  <sheetPr codeName="Sheet3"/>
  <dimension ref="A1:V51"/>
  <sheetViews>
    <sheetView showGridLines="0" topLeftCell="A18" workbookViewId="0">
      <selection activeCell="W1" sqref="W1:XFD1048576"/>
    </sheetView>
  </sheetViews>
  <sheetFormatPr defaultColWidth="0" defaultRowHeight="14.4" outlineLevelRow="2" x14ac:dyDescent="0.3"/>
  <cols>
    <col min="1" max="3" width="3.109375" customWidth="1"/>
    <col min="4" max="4" width="32.6640625" bestFit="1" customWidth="1"/>
    <col min="5" max="5" width="23.5546875" bestFit="1" customWidth="1"/>
    <col min="6" max="6" width="14.88671875" bestFit="1" customWidth="1"/>
    <col min="7" max="8" width="8.77734375" customWidth="1"/>
    <col min="9" max="9" width="14.88671875" bestFit="1" customWidth="1"/>
    <col min="10" max="10" width="8.33203125" bestFit="1" customWidth="1"/>
    <col min="11" max="14" width="8.77734375" bestFit="1" customWidth="1"/>
    <col min="15" max="15" width="9" bestFit="1" customWidth="1"/>
    <col min="16" max="20" width="8.77734375" bestFit="1" customWidth="1"/>
    <col min="21" max="22" width="8.77734375" customWidth="1"/>
    <col min="23" max="16384" width="8.77734375" hidden="1"/>
  </cols>
  <sheetData>
    <row r="1" spans="2:20" ht="7.95" customHeight="1" x14ac:dyDescent="0.3"/>
    <row r="2" spans="2:20" ht="37.950000000000003" customHeight="1" x14ac:dyDescent="0.5">
      <c r="B2" s="9" t="str">
        <f>Company</f>
        <v>AirBnB</v>
      </c>
      <c r="C2" s="9"/>
      <c r="D2" s="9"/>
      <c r="E2" s="9"/>
      <c r="F2" s="9"/>
      <c r="G2" s="9"/>
    </row>
    <row r="3" spans="2:20" ht="15" thickBot="1" x14ac:dyDescent="0.35"/>
    <row r="4" spans="2:20" ht="19.2" thickTop="1" thickBot="1" x14ac:dyDescent="0.4">
      <c r="B4" s="10" t="s">
        <v>17</v>
      </c>
      <c r="C4" s="10"/>
      <c r="D4" s="10"/>
      <c r="F4" t="s">
        <v>10</v>
      </c>
      <c r="G4" s="21">
        <f>StartDate</f>
        <v>44866</v>
      </c>
    </row>
    <row r="5" spans="2:20" ht="18.600000000000001" thickTop="1" x14ac:dyDescent="0.35">
      <c r="B5" s="10"/>
      <c r="C5" s="10"/>
      <c r="D5" s="10"/>
    </row>
    <row r="6" spans="2:20" ht="18.600000000000001" thickBot="1" x14ac:dyDescent="0.4">
      <c r="B6" s="10"/>
      <c r="C6" s="10"/>
      <c r="D6" s="10"/>
      <c r="I6" s="20">
        <f>G4</f>
        <v>44866</v>
      </c>
      <c r="J6" s="20">
        <f t="shared" ref="J6:T6" si="0">EOMONTH(I6,1)</f>
        <v>44926</v>
      </c>
      <c r="K6" s="20">
        <f t="shared" si="0"/>
        <v>44957</v>
      </c>
      <c r="L6" s="20">
        <f t="shared" si="0"/>
        <v>44985</v>
      </c>
      <c r="M6" s="20">
        <f t="shared" si="0"/>
        <v>45016</v>
      </c>
      <c r="N6" s="20">
        <f t="shared" si="0"/>
        <v>45046</v>
      </c>
      <c r="O6" s="20">
        <f t="shared" si="0"/>
        <v>45077</v>
      </c>
      <c r="P6" s="20">
        <f t="shared" si="0"/>
        <v>45107</v>
      </c>
      <c r="Q6" s="20">
        <f t="shared" si="0"/>
        <v>45138</v>
      </c>
      <c r="R6" s="20">
        <f t="shared" si="0"/>
        <v>45169</v>
      </c>
      <c r="S6" s="20">
        <f t="shared" si="0"/>
        <v>45199</v>
      </c>
      <c r="T6" s="20">
        <f t="shared" si="0"/>
        <v>45230</v>
      </c>
    </row>
    <row r="7" spans="2:20" ht="15" thickTop="1" x14ac:dyDescent="0.3">
      <c r="I7" s="15"/>
    </row>
    <row r="8" spans="2:20" x14ac:dyDescent="0.3">
      <c r="E8" t="s">
        <v>44</v>
      </c>
      <c r="F8" t="s">
        <v>45</v>
      </c>
    </row>
    <row r="9" spans="2:20" x14ac:dyDescent="0.3">
      <c r="F9" s="17" t="s">
        <v>46</v>
      </c>
    </row>
    <row r="10" spans="2:20" ht="15.6" x14ac:dyDescent="0.3">
      <c r="D10" s="23" t="s">
        <v>47</v>
      </c>
      <c r="E10" s="23"/>
      <c r="F10" s="23"/>
    </row>
    <row r="11" spans="2:20" outlineLevel="1" x14ac:dyDescent="0.3">
      <c r="D11" t="s">
        <v>123</v>
      </c>
      <c r="F11">
        <v>3</v>
      </c>
    </row>
    <row r="12" spans="2:20" outlineLevel="1" x14ac:dyDescent="0.3">
      <c r="D12" t="s">
        <v>124</v>
      </c>
      <c r="F12">
        <v>2</v>
      </c>
    </row>
    <row r="13" spans="2:20" outlineLevel="1" x14ac:dyDescent="0.3">
      <c r="D13" t="s">
        <v>121</v>
      </c>
      <c r="F13">
        <v>10</v>
      </c>
    </row>
    <row r="14" spans="2:20" outlineLevel="1" x14ac:dyDescent="0.3">
      <c r="D14" t="s">
        <v>120</v>
      </c>
      <c r="I14">
        <f>F11</f>
        <v>3</v>
      </c>
      <c r="J14">
        <f>I14+$F$11</f>
        <v>6</v>
      </c>
      <c r="K14">
        <f t="shared" ref="K14:N14" si="1">J14+$F$11</f>
        <v>9</v>
      </c>
      <c r="L14">
        <f t="shared" si="1"/>
        <v>12</v>
      </c>
      <c r="M14">
        <f t="shared" si="1"/>
        <v>15</v>
      </c>
      <c r="N14">
        <f t="shared" si="1"/>
        <v>18</v>
      </c>
      <c r="O14">
        <f>N14+$F$12</f>
        <v>20</v>
      </c>
      <c r="P14">
        <f t="shared" ref="P14:T14" si="2">O14+$F$12</f>
        <v>22</v>
      </c>
      <c r="Q14">
        <f t="shared" si="2"/>
        <v>24</v>
      </c>
      <c r="R14">
        <f t="shared" si="2"/>
        <v>26</v>
      </c>
      <c r="S14">
        <f t="shared" si="2"/>
        <v>28</v>
      </c>
      <c r="T14">
        <f t="shared" si="2"/>
        <v>30</v>
      </c>
    </row>
    <row r="15" spans="2:20" outlineLevel="1" x14ac:dyDescent="0.3">
      <c r="D15" t="s">
        <v>126</v>
      </c>
      <c r="I15">
        <f>I14*$F$13</f>
        <v>30</v>
      </c>
      <c r="J15">
        <f t="shared" ref="J15:T15" si="3">J14*$F$13</f>
        <v>60</v>
      </c>
      <c r="K15">
        <f t="shared" si="3"/>
        <v>90</v>
      </c>
      <c r="L15">
        <f t="shared" si="3"/>
        <v>120</v>
      </c>
      <c r="M15">
        <f t="shared" si="3"/>
        <v>150</v>
      </c>
      <c r="N15">
        <f t="shared" si="3"/>
        <v>180</v>
      </c>
      <c r="O15">
        <f t="shared" si="3"/>
        <v>200</v>
      </c>
      <c r="P15">
        <f t="shared" si="3"/>
        <v>220</v>
      </c>
      <c r="Q15">
        <f t="shared" si="3"/>
        <v>240</v>
      </c>
      <c r="R15">
        <f t="shared" si="3"/>
        <v>260</v>
      </c>
      <c r="S15">
        <f t="shared" si="3"/>
        <v>280</v>
      </c>
      <c r="T15">
        <f t="shared" si="3"/>
        <v>300</v>
      </c>
    </row>
    <row r="16" spans="2:20" outlineLevel="1" x14ac:dyDescent="0.3">
      <c r="D16" t="s">
        <v>122</v>
      </c>
      <c r="F16" s="39">
        <v>0.6</v>
      </c>
    </row>
    <row r="17" spans="4:6" outlineLevel="1" x14ac:dyDescent="0.3">
      <c r="D17" t="s">
        <v>125</v>
      </c>
      <c r="F17" s="40">
        <v>15000</v>
      </c>
    </row>
    <row r="18" spans="4:6" outlineLevel="1" x14ac:dyDescent="0.3">
      <c r="F18" s="39"/>
    </row>
    <row r="19" spans="4:6" x14ac:dyDescent="0.3">
      <c r="E19" s="19"/>
      <c r="F19" s="3"/>
    </row>
    <row r="20" spans="4:6" ht="15.6" x14ac:dyDescent="0.3">
      <c r="D20" s="23" t="s">
        <v>118</v>
      </c>
      <c r="E20" s="23"/>
      <c r="F20" s="23"/>
    </row>
    <row r="21" spans="4:6" outlineLevel="1" x14ac:dyDescent="0.3">
      <c r="D21" t="s">
        <v>119</v>
      </c>
      <c r="E21" s="19" t="s">
        <v>49</v>
      </c>
      <c r="F21" s="3">
        <v>0.3</v>
      </c>
    </row>
    <row r="22" spans="4:6" outlineLevel="1" x14ac:dyDescent="0.3">
      <c r="E22" s="19"/>
      <c r="F22" s="3"/>
    </row>
    <row r="23" spans="4:6" ht="15.6" x14ac:dyDescent="0.3">
      <c r="D23" s="23" t="s">
        <v>48</v>
      </c>
      <c r="E23" s="23"/>
      <c r="F23" s="23"/>
    </row>
    <row r="24" spans="4:6" outlineLevel="1" x14ac:dyDescent="0.3">
      <c r="D24" t="s">
        <v>48</v>
      </c>
      <c r="E24" s="19" t="s">
        <v>49</v>
      </c>
      <c r="F24" s="3">
        <v>0.2</v>
      </c>
    </row>
    <row r="25" spans="4:6" x14ac:dyDescent="0.3">
      <c r="E25" s="19"/>
    </row>
    <row r="26" spans="4:6" ht="15.6" x14ac:dyDescent="0.3">
      <c r="D26" s="23" t="s">
        <v>67</v>
      </c>
      <c r="E26" s="23"/>
      <c r="F26" s="23"/>
    </row>
    <row r="27" spans="4:6" outlineLevel="1" x14ac:dyDescent="0.3">
      <c r="D27" t="s">
        <v>50</v>
      </c>
      <c r="E27" s="19"/>
      <c r="F27" s="3">
        <v>0.32</v>
      </c>
    </row>
    <row r="28" spans="4:6" x14ac:dyDescent="0.3">
      <c r="E28" s="19"/>
    </row>
    <row r="29" spans="4:6" ht="15.6" x14ac:dyDescent="0.3">
      <c r="D29" s="23" t="s">
        <v>51</v>
      </c>
      <c r="E29" s="23"/>
      <c r="F29" s="23"/>
    </row>
    <row r="30" spans="4:6" outlineLevel="1" x14ac:dyDescent="0.3">
      <c r="D30" t="s">
        <v>51</v>
      </c>
      <c r="E30" s="19" t="s">
        <v>53</v>
      </c>
      <c r="F30" s="3">
        <v>0.4</v>
      </c>
    </row>
    <row r="31" spans="4:6" outlineLevel="1" x14ac:dyDescent="0.3">
      <c r="D31" t="s">
        <v>56</v>
      </c>
      <c r="E31" s="19" t="s">
        <v>57</v>
      </c>
      <c r="F31" t="s">
        <v>58</v>
      </c>
    </row>
    <row r="33" spans="4:20" ht="15.6" x14ac:dyDescent="0.3">
      <c r="D33" s="23" t="s">
        <v>59</v>
      </c>
      <c r="E33" s="23"/>
      <c r="F33" s="23"/>
    </row>
    <row r="34" spans="4:20" outlineLevel="1" x14ac:dyDescent="0.3">
      <c r="D34" t="s">
        <v>52</v>
      </c>
      <c r="F34" s="16">
        <v>15000000</v>
      </c>
    </row>
    <row r="35" spans="4:20" outlineLevel="1" x14ac:dyDescent="0.3">
      <c r="D35" t="s">
        <v>60</v>
      </c>
      <c r="F35" s="16">
        <v>0</v>
      </c>
    </row>
    <row r="36" spans="4:20" outlineLevel="1" x14ac:dyDescent="0.3">
      <c r="D36" t="s">
        <v>69</v>
      </c>
      <c r="F36" s="16"/>
      <c r="I36" s="16">
        <v>15000000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</row>
    <row r="37" spans="4:20" x14ac:dyDescent="0.3">
      <c r="F37" s="16"/>
    </row>
    <row r="38" spans="4:20" ht="15.6" x14ac:dyDescent="0.3">
      <c r="D38" s="23" t="s">
        <v>61</v>
      </c>
      <c r="E38" s="23"/>
      <c r="F38" s="23"/>
    </row>
    <row r="39" spans="4:20" outlineLevel="1" x14ac:dyDescent="0.3">
      <c r="D39" t="s">
        <v>54</v>
      </c>
      <c r="F39" s="16">
        <v>9000000</v>
      </c>
    </row>
    <row r="40" spans="4:20" outlineLevel="1" x14ac:dyDescent="0.3">
      <c r="D40" t="s">
        <v>62</v>
      </c>
      <c r="F40" s="18">
        <v>10</v>
      </c>
    </row>
    <row r="41" spans="4:20" outlineLevel="1" x14ac:dyDescent="0.3">
      <c r="D41" t="s">
        <v>68</v>
      </c>
      <c r="I41" s="16">
        <v>9000000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</row>
    <row r="42" spans="4:20" outlineLevel="1" x14ac:dyDescent="0.3"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</row>
    <row r="43" spans="4:20" ht="15.6" outlineLevel="1" x14ac:dyDescent="0.3">
      <c r="D43" s="23" t="s">
        <v>128</v>
      </c>
      <c r="E43" s="23"/>
      <c r="F43" s="23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</row>
    <row r="44" spans="4:20" outlineLevel="1" x14ac:dyDescent="0.3">
      <c r="D44" t="s">
        <v>129</v>
      </c>
      <c r="F44" s="3">
        <v>0.2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</row>
    <row r="46" spans="4:20" ht="15.6" outlineLevel="1" x14ac:dyDescent="0.3">
      <c r="D46" s="23" t="s">
        <v>63</v>
      </c>
      <c r="E46" s="23"/>
      <c r="F46" s="23"/>
    </row>
    <row r="47" spans="4:20" outlineLevel="2" x14ac:dyDescent="0.3">
      <c r="D47" t="s">
        <v>64</v>
      </c>
      <c r="F47" s="3">
        <v>0</v>
      </c>
    </row>
    <row r="48" spans="4:20" outlineLevel="2" x14ac:dyDescent="0.3">
      <c r="D48" t="s">
        <v>65</v>
      </c>
      <c r="F48" s="3">
        <v>1</v>
      </c>
    </row>
    <row r="49" spans="4:6" outlineLevel="2" x14ac:dyDescent="0.3">
      <c r="F49" s="3"/>
    </row>
    <row r="50" spans="4:6" outlineLevel="2" x14ac:dyDescent="0.3"/>
    <row r="51" spans="4:6" outlineLevel="2" x14ac:dyDescent="0.3">
      <c r="D51" t="s">
        <v>66</v>
      </c>
      <c r="F51" s="16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23477-9CBE-422D-93AC-8CE64CDFC59A}">
  <sheetPr codeName="Sheet5"/>
  <dimension ref="A1:V33"/>
  <sheetViews>
    <sheetView showGridLines="0" zoomScale="68" workbookViewId="0">
      <selection activeCell="W1" sqref="W1:XFD1048576"/>
    </sheetView>
  </sheetViews>
  <sheetFormatPr defaultColWidth="0" defaultRowHeight="14.4" x14ac:dyDescent="0.3"/>
  <cols>
    <col min="1" max="3" width="3.109375" customWidth="1"/>
    <col min="4" max="4" width="32.6640625" bestFit="1" customWidth="1"/>
    <col min="5" max="5" width="23.5546875" bestFit="1" customWidth="1"/>
    <col min="6" max="6" width="14.88671875" bestFit="1" customWidth="1"/>
    <col min="7" max="8" width="8.77734375" customWidth="1"/>
    <col min="9" max="20" width="15.77734375" bestFit="1" customWidth="1"/>
    <col min="21" max="22" width="8.77734375" customWidth="1"/>
    <col min="23" max="16384" width="8.77734375" hidden="1"/>
  </cols>
  <sheetData>
    <row r="1" spans="2:20" ht="7.95" customHeight="1" x14ac:dyDescent="0.3"/>
    <row r="2" spans="2:20" ht="37.950000000000003" customHeight="1" x14ac:dyDescent="0.5">
      <c r="B2" s="9" t="str">
        <f>Company</f>
        <v>AirBnB</v>
      </c>
      <c r="C2" s="9"/>
      <c r="D2" s="9"/>
      <c r="E2" s="9"/>
      <c r="F2" s="9"/>
      <c r="G2" s="9"/>
    </row>
    <row r="3" spans="2:20" ht="15" thickBot="1" x14ac:dyDescent="0.35"/>
    <row r="4" spans="2:20" ht="19.2" thickTop="1" thickBot="1" x14ac:dyDescent="0.4">
      <c r="B4" s="10" t="s">
        <v>18</v>
      </c>
      <c r="C4" s="10"/>
      <c r="D4" s="10"/>
      <c r="F4" t="s">
        <v>10</v>
      </c>
      <c r="G4" s="21">
        <f>StartDate</f>
        <v>44866</v>
      </c>
    </row>
    <row r="5" spans="2:20" ht="18.600000000000001" thickTop="1" x14ac:dyDescent="0.35">
      <c r="B5" s="10"/>
      <c r="C5" s="10"/>
      <c r="D5" s="10"/>
    </row>
    <row r="6" spans="2:20" ht="18.600000000000001" thickBot="1" x14ac:dyDescent="0.4">
      <c r="B6" s="10"/>
      <c r="C6" s="10"/>
      <c r="D6" s="10"/>
      <c r="I6" s="20">
        <f>G4</f>
        <v>44866</v>
      </c>
      <c r="J6" s="20">
        <f t="shared" ref="J6:T6" si="0">EOMONTH(I6,1)</f>
        <v>44926</v>
      </c>
      <c r="K6" s="20">
        <f t="shared" si="0"/>
        <v>44957</v>
      </c>
      <c r="L6" s="20">
        <f t="shared" si="0"/>
        <v>44985</v>
      </c>
      <c r="M6" s="20">
        <f t="shared" si="0"/>
        <v>45016</v>
      </c>
      <c r="N6" s="20">
        <f t="shared" si="0"/>
        <v>45046</v>
      </c>
      <c r="O6" s="20">
        <f t="shared" si="0"/>
        <v>45077</v>
      </c>
      <c r="P6" s="20">
        <f t="shared" si="0"/>
        <v>45107</v>
      </c>
      <c r="Q6" s="20">
        <f t="shared" si="0"/>
        <v>45138</v>
      </c>
      <c r="R6" s="20">
        <f t="shared" si="0"/>
        <v>45169</v>
      </c>
      <c r="S6" s="20">
        <f t="shared" si="0"/>
        <v>45199</v>
      </c>
      <c r="T6" s="20">
        <f t="shared" si="0"/>
        <v>45230</v>
      </c>
    </row>
    <row r="7" spans="2:20" ht="15" thickTop="1" x14ac:dyDescent="0.3">
      <c r="I7" s="15"/>
    </row>
    <row r="8" spans="2:20" x14ac:dyDescent="0.3">
      <c r="E8" t="s">
        <v>44</v>
      </c>
      <c r="F8" t="s">
        <v>45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 spans="2:20" x14ac:dyDescent="0.3">
      <c r="F9" s="17" t="s">
        <v>46</v>
      </c>
    </row>
    <row r="10" spans="2:20" ht="15.6" x14ac:dyDescent="0.3">
      <c r="D10" s="23" t="s">
        <v>70</v>
      </c>
      <c r="I10" s="16">
        <f>(Assumptions!$F$16*Assumptions!I15)*Assumptions!$F$17</f>
        <v>270000</v>
      </c>
      <c r="J10" s="16">
        <f>(Assumptions!$F$16*Assumptions!J15)*Assumptions!$F$17</f>
        <v>540000</v>
      </c>
      <c r="K10" s="16">
        <f>(Assumptions!$F$16*Assumptions!K15)*Assumptions!$F$17</f>
        <v>810000</v>
      </c>
      <c r="L10" s="16">
        <f>(Assumptions!$F$16*Assumptions!L15)*Assumptions!$F$17</f>
        <v>1080000</v>
      </c>
      <c r="M10" s="16">
        <f>(Assumptions!$F$16*Assumptions!M15)*Assumptions!$F$17</f>
        <v>1350000</v>
      </c>
      <c r="N10" s="16">
        <f>(Assumptions!$F$16*Assumptions!N15)*Assumptions!$F$17</f>
        <v>1620000</v>
      </c>
      <c r="O10" s="16">
        <f>(Assumptions!$F$16*Assumptions!O15)*Assumptions!$F$17</f>
        <v>1800000</v>
      </c>
      <c r="P10" s="16">
        <f>(Assumptions!$F$16*Assumptions!P15)*Assumptions!$F$17</f>
        <v>1980000</v>
      </c>
      <c r="Q10" s="16">
        <f>(Assumptions!$F$16*Assumptions!Q15)*Assumptions!$F$17</f>
        <v>2160000</v>
      </c>
      <c r="R10" s="16">
        <f>(Assumptions!$F$16*Assumptions!R15)*Assumptions!$F$17</f>
        <v>2340000</v>
      </c>
      <c r="S10" s="16">
        <f>(Assumptions!$F$16*Assumptions!S15)*Assumptions!$F$17</f>
        <v>2520000</v>
      </c>
      <c r="T10" s="16">
        <f>(Assumptions!$F$16*Assumptions!T15)*Assumptions!$F$17</f>
        <v>2700000</v>
      </c>
    </row>
    <row r="12" spans="2:20" x14ac:dyDescent="0.3">
      <c r="F12" s="16"/>
    </row>
    <row r="13" spans="2:20" ht="15.6" x14ac:dyDescent="0.3">
      <c r="D13" s="23" t="s">
        <v>127</v>
      </c>
      <c r="F13" s="16"/>
      <c r="I13" s="16">
        <f>I10*Assumptions!$F$21</f>
        <v>81000</v>
      </c>
      <c r="J13" s="16">
        <f>J10*Assumptions!$F$21</f>
        <v>162000</v>
      </c>
      <c r="K13" s="16">
        <f>K10*Assumptions!$F$21</f>
        <v>243000</v>
      </c>
      <c r="L13" s="16">
        <f>L10*Assumptions!$F$21</f>
        <v>324000</v>
      </c>
      <c r="M13" s="16">
        <f>M10*Assumptions!$F$21</f>
        <v>405000</v>
      </c>
      <c r="N13" s="16">
        <f>N10*Assumptions!$F$21</f>
        <v>486000</v>
      </c>
      <c r="O13" s="16">
        <f>O10*Assumptions!$F$21</f>
        <v>540000</v>
      </c>
      <c r="P13" s="16">
        <f>P10*Assumptions!$F$21</f>
        <v>594000</v>
      </c>
      <c r="Q13" s="16">
        <f>Q10*Assumptions!$F$21</f>
        <v>648000</v>
      </c>
      <c r="R13" s="16">
        <f>R10*Assumptions!$F$21</f>
        <v>702000</v>
      </c>
      <c r="S13" s="16">
        <f>S10*Assumptions!$F$21</f>
        <v>756000</v>
      </c>
      <c r="T13" s="16">
        <f>T10*Assumptions!$F$21</f>
        <v>810000</v>
      </c>
    </row>
    <row r="15" spans="2:20" ht="15.6" x14ac:dyDescent="0.3">
      <c r="D15" s="23" t="s">
        <v>48</v>
      </c>
      <c r="F15" s="24"/>
      <c r="I15" s="16">
        <f>I10*Assumptions!$F$24</f>
        <v>54000</v>
      </c>
      <c r="J15" s="16">
        <f>J10*Assumptions!$F$24</f>
        <v>108000</v>
      </c>
      <c r="K15" s="16">
        <f>K10*Assumptions!$F$24</f>
        <v>162000</v>
      </c>
      <c r="L15" s="16">
        <f>L10*Assumptions!$F$24</f>
        <v>216000</v>
      </c>
      <c r="M15" s="16">
        <f>M10*Assumptions!$F$24</f>
        <v>270000</v>
      </c>
      <c r="N15" s="16">
        <f>N10*Assumptions!$F$24</f>
        <v>324000</v>
      </c>
      <c r="O15" s="16">
        <f>O10*Assumptions!$F$24</f>
        <v>360000</v>
      </c>
      <c r="P15" s="16">
        <f>P10*Assumptions!$F$24</f>
        <v>396000</v>
      </c>
      <c r="Q15" s="16">
        <f>Q10*Assumptions!$F$24</f>
        <v>432000</v>
      </c>
      <c r="R15" s="16">
        <f>R10*Assumptions!$F$24</f>
        <v>468000</v>
      </c>
      <c r="S15" s="16">
        <f>S10*Assumptions!$F$24</f>
        <v>504000</v>
      </c>
      <c r="T15" s="16">
        <f>T10*Assumptions!$F$24</f>
        <v>540000</v>
      </c>
    </row>
    <row r="17" spans="4:20" ht="15.6" x14ac:dyDescent="0.3">
      <c r="D17" s="23" t="s">
        <v>71</v>
      </c>
      <c r="F17" s="24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4:20" x14ac:dyDescent="0.3">
      <c r="D18" t="s">
        <v>51</v>
      </c>
      <c r="F18" s="24"/>
      <c r="I18" s="16">
        <f>Assumptions!$F$30*Calculations!I15</f>
        <v>21600</v>
      </c>
      <c r="J18" s="16">
        <f>Assumptions!$F$30*Calculations!J15</f>
        <v>43200</v>
      </c>
      <c r="K18" s="16">
        <f>Assumptions!$F$30*Calculations!K15</f>
        <v>64800</v>
      </c>
      <c r="L18" s="16">
        <f>Assumptions!$F$30*Calculations!L15</f>
        <v>86400</v>
      </c>
      <c r="M18" s="16">
        <f>Assumptions!$F$30*Calculations!M15</f>
        <v>108000</v>
      </c>
      <c r="N18" s="16">
        <f>Assumptions!$F$30*Calculations!N15</f>
        <v>129600</v>
      </c>
      <c r="O18" s="16">
        <f>Assumptions!$F$30*Calculations!O15</f>
        <v>144000</v>
      </c>
      <c r="P18" s="16">
        <f>Assumptions!$F$30*Calculations!P15</f>
        <v>158400</v>
      </c>
      <c r="Q18" s="16">
        <f>Assumptions!$F$30*Calculations!Q15</f>
        <v>172800</v>
      </c>
      <c r="R18" s="16">
        <f>Assumptions!$F$30*Calculations!R15</f>
        <v>187200</v>
      </c>
      <c r="S18" s="16">
        <f>Assumptions!$F$30*Calculations!S15</f>
        <v>201600</v>
      </c>
      <c r="T18" s="16">
        <f>Assumptions!$F$30*Calculations!T15</f>
        <v>216000</v>
      </c>
    </row>
    <row r="20" spans="4:20" ht="15.6" x14ac:dyDescent="0.3">
      <c r="D20" s="23" t="s">
        <v>72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spans="4:20" x14ac:dyDescent="0.3">
      <c r="D21" t="s">
        <v>73</v>
      </c>
      <c r="I21" s="16">
        <v>0</v>
      </c>
      <c r="J21" s="16">
        <f>I23</f>
        <v>15000000</v>
      </c>
      <c r="K21" s="16">
        <f t="shared" ref="K21:T21" si="1">J23</f>
        <v>15000000</v>
      </c>
      <c r="L21" s="16">
        <f t="shared" si="1"/>
        <v>15000000</v>
      </c>
      <c r="M21" s="16">
        <f t="shared" si="1"/>
        <v>15000000</v>
      </c>
      <c r="N21" s="16">
        <f t="shared" si="1"/>
        <v>15000000</v>
      </c>
      <c r="O21" s="16">
        <f t="shared" si="1"/>
        <v>15000000</v>
      </c>
      <c r="P21" s="16">
        <f t="shared" si="1"/>
        <v>15000000</v>
      </c>
      <c r="Q21" s="16">
        <f t="shared" si="1"/>
        <v>15000000</v>
      </c>
      <c r="R21" s="16">
        <f t="shared" si="1"/>
        <v>15000000</v>
      </c>
      <c r="S21" s="16">
        <f t="shared" si="1"/>
        <v>15000000</v>
      </c>
      <c r="T21" s="16">
        <f t="shared" si="1"/>
        <v>15000000</v>
      </c>
    </row>
    <row r="22" spans="4:20" x14ac:dyDescent="0.3">
      <c r="D22" t="s">
        <v>74</v>
      </c>
      <c r="I22" s="16">
        <f>Assumptions!I36</f>
        <v>15000000</v>
      </c>
      <c r="J22" s="16">
        <f>Assumptions!J36</f>
        <v>0</v>
      </c>
      <c r="K22" s="16">
        <f>Assumptions!K36</f>
        <v>0</v>
      </c>
      <c r="L22" s="16">
        <f>Assumptions!L36</f>
        <v>0</v>
      </c>
      <c r="M22" s="16">
        <f>Assumptions!M36</f>
        <v>0</v>
      </c>
      <c r="N22" s="16">
        <f>Assumptions!N36</f>
        <v>0</v>
      </c>
      <c r="O22" s="16">
        <f>Assumptions!O36</f>
        <v>0</v>
      </c>
      <c r="P22" s="16">
        <f>Assumptions!P36</f>
        <v>0</v>
      </c>
      <c r="Q22" s="16">
        <f>Assumptions!Q36</f>
        <v>0</v>
      </c>
      <c r="R22" s="16">
        <f>Assumptions!R36</f>
        <v>0</v>
      </c>
      <c r="S22" s="16">
        <f>Assumptions!S36</f>
        <v>0</v>
      </c>
      <c r="T22" s="16">
        <f>Assumptions!T36</f>
        <v>0</v>
      </c>
    </row>
    <row r="23" spans="4:20" ht="15" thickBot="1" x14ac:dyDescent="0.35">
      <c r="D23" s="22" t="s">
        <v>75</v>
      </c>
      <c r="I23" s="25">
        <f>SUM(I21:I22)</f>
        <v>15000000</v>
      </c>
      <c r="J23" s="25">
        <f t="shared" ref="J23:T23" si="2">SUM(J21:J22)</f>
        <v>15000000</v>
      </c>
      <c r="K23" s="25">
        <f t="shared" si="2"/>
        <v>15000000</v>
      </c>
      <c r="L23" s="25">
        <f t="shared" si="2"/>
        <v>15000000</v>
      </c>
      <c r="M23" s="25">
        <f t="shared" si="2"/>
        <v>15000000</v>
      </c>
      <c r="N23" s="25">
        <f t="shared" si="2"/>
        <v>15000000</v>
      </c>
      <c r="O23" s="25">
        <f t="shared" si="2"/>
        <v>15000000</v>
      </c>
      <c r="P23" s="25">
        <f t="shared" si="2"/>
        <v>15000000</v>
      </c>
      <c r="Q23" s="25">
        <f t="shared" si="2"/>
        <v>15000000</v>
      </c>
      <c r="R23" s="25">
        <f t="shared" si="2"/>
        <v>15000000</v>
      </c>
      <c r="S23" s="25">
        <f t="shared" si="2"/>
        <v>15000000</v>
      </c>
      <c r="T23" s="25">
        <f t="shared" si="2"/>
        <v>15000000</v>
      </c>
    </row>
    <row r="24" spans="4:20" ht="15" thickTop="1" x14ac:dyDescent="0.3"/>
    <row r="25" spans="4:20" ht="15.6" x14ac:dyDescent="0.3">
      <c r="D25" s="23" t="s">
        <v>76</v>
      </c>
    </row>
    <row r="26" spans="4:20" x14ac:dyDescent="0.3">
      <c r="D26" t="s">
        <v>77</v>
      </c>
      <c r="J26" s="16">
        <f>I29</f>
        <v>8925000</v>
      </c>
      <c r="K26" s="16">
        <f t="shared" ref="K26:T26" si="3">J29</f>
        <v>8850000</v>
      </c>
      <c r="L26" s="16">
        <f t="shared" si="3"/>
        <v>8775000</v>
      </c>
      <c r="M26" s="16">
        <f t="shared" si="3"/>
        <v>8700000</v>
      </c>
      <c r="N26" s="16">
        <f t="shared" si="3"/>
        <v>8625000</v>
      </c>
      <c r="O26" s="16">
        <f t="shared" si="3"/>
        <v>8550000</v>
      </c>
      <c r="P26" s="16">
        <f t="shared" si="3"/>
        <v>8475000</v>
      </c>
      <c r="Q26" s="16">
        <f t="shared" si="3"/>
        <v>8400000</v>
      </c>
      <c r="R26" s="16">
        <f t="shared" si="3"/>
        <v>8325000</v>
      </c>
      <c r="S26" s="16">
        <f t="shared" si="3"/>
        <v>8250000</v>
      </c>
      <c r="T26" s="16">
        <f t="shared" si="3"/>
        <v>8175000</v>
      </c>
    </row>
    <row r="27" spans="4:20" x14ac:dyDescent="0.3">
      <c r="D27" t="s">
        <v>68</v>
      </c>
      <c r="I27" s="16">
        <f>Assumptions!I41</f>
        <v>9000000</v>
      </c>
      <c r="J27" s="16">
        <f>Assumptions!J41</f>
        <v>0</v>
      </c>
      <c r="K27" s="16">
        <f>Assumptions!K41</f>
        <v>0</v>
      </c>
      <c r="L27" s="16">
        <f>Assumptions!L41</f>
        <v>0</v>
      </c>
      <c r="M27" s="16">
        <f>Assumptions!M41</f>
        <v>0</v>
      </c>
      <c r="N27" s="16">
        <f>Assumptions!N41</f>
        <v>0</v>
      </c>
      <c r="O27" s="16">
        <f>Assumptions!O41</f>
        <v>0</v>
      </c>
      <c r="P27" s="16">
        <f>Assumptions!P41</f>
        <v>0</v>
      </c>
      <c r="Q27" s="16">
        <f>Assumptions!Q41</f>
        <v>0</v>
      </c>
      <c r="R27" s="16">
        <f>Assumptions!R41</f>
        <v>0</v>
      </c>
      <c r="S27" s="16">
        <f>Assumptions!S41</f>
        <v>0</v>
      </c>
      <c r="T27" s="16">
        <f>Assumptions!T41</f>
        <v>0</v>
      </c>
    </row>
    <row r="28" spans="4:20" x14ac:dyDescent="0.3">
      <c r="D28" t="s">
        <v>78</v>
      </c>
      <c r="I28" s="29">
        <f t="shared" ref="I28:T28" si="4">SLN(SUM($I$27:$I$27),0,Asset_Useful_Life_*Months_In_a_Year)</f>
        <v>75000</v>
      </c>
      <c r="J28" s="29">
        <f t="shared" si="4"/>
        <v>75000</v>
      </c>
      <c r="K28" s="29">
        <f t="shared" si="4"/>
        <v>75000</v>
      </c>
      <c r="L28" s="29">
        <f t="shared" si="4"/>
        <v>75000</v>
      </c>
      <c r="M28" s="29">
        <f t="shared" si="4"/>
        <v>75000</v>
      </c>
      <c r="N28" s="29">
        <f t="shared" si="4"/>
        <v>75000</v>
      </c>
      <c r="O28" s="29">
        <f t="shared" si="4"/>
        <v>75000</v>
      </c>
      <c r="P28" s="29">
        <f t="shared" si="4"/>
        <v>75000</v>
      </c>
      <c r="Q28" s="29">
        <f t="shared" si="4"/>
        <v>75000</v>
      </c>
      <c r="R28" s="29">
        <f t="shared" si="4"/>
        <v>75000</v>
      </c>
      <c r="S28" s="29">
        <f t="shared" si="4"/>
        <v>75000</v>
      </c>
      <c r="T28" s="29">
        <f t="shared" si="4"/>
        <v>75000</v>
      </c>
    </row>
    <row r="29" spans="4:20" ht="15" thickBot="1" x14ac:dyDescent="0.35">
      <c r="D29" s="22" t="s">
        <v>75</v>
      </c>
      <c r="I29" s="25">
        <f>I26+I27-I28</f>
        <v>8925000</v>
      </c>
      <c r="J29" s="25">
        <f t="shared" ref="J29:T29" si="5">J26+J27-J28</f>
        <v>8850000</v>
      </c>
      <c r="K29" s="25">
        <f t="shared" si="5"/>
        <v>8775000</v>
      </c>
      <c r="L29" s="25">
        <f t="shared" si="5"/>
        <v>8700000</v>
      </c>
      <c r="M29" s="25">
        <f t="shared" si="5"/>
        <v>8625000</v>
      </c>
      <c r="N29" s="25">
        <f t="shared" si="5"/>
        <v>8550000</v>
      </c>
      <c r="O29" s="25">
        <f t="shared" si="5"/>
        <v>8475000</v>
      </c>
      <c r="P29" s="25">
        <f t="shared" si="5"/>
        <v>8400000</v>
      </c>
      <c r="Q29" s="25">
        <f t="shared" si="5"/>
        <v>8325000</v>
      </c>
      <c r="R29" s="25">
        <f t="shared" si="5"/>
        <v>8250000</v>
      </c>
      <c r="S29" s="25">
        <f t="shared" si="5"/>
        <v>8175000</v>
      </c>
      <c r="T29" s="25">
        <f t="shared" si="5"/>
        <v>8100000</v>
      </c>
    </row>
    <row r="30" spans="4:20" ht="15" thickTop="1" x14ac:dyDescent="0.3"/>
    <row r="32" spans="4:20" ht="15.6" x14ac:dyDescent="0.3">
      <c r="D32" s="23" t="s">
        <v>130</v>
      </c>
    </row>
    <row r="33" spans="4:20" x14ac:dyDescent="0.3">
      <c r="D33" t="s">
        <v>130</v>
      </c>
      <c r="I33" s="16">
        <f>((1-Assumptions!$F$16)*Assumptions!I15)*Assumptions!$F$17</f>
        <v>180000</v>
      </c>
      <c r="J33" s="16">
        <f>((1-Assumptions!$F$16)*Assumptions!J15)*Assumptions!$F$17</f>
        <v>360000</v>
      </c>
      <c r="K33" s="16">
        <f>((1-Assumptions!$F$16)*Assumptions!K15)*Assumptions!$F$17</f>
        <v>540000</v>
      </c>
      <c r="L33" s="16">
        <f>((1-Assumptions!$F$16)*Assumptions!L15)*Assumptions!$F$17</f>
        <v>720000</v>
      </c>
      <c r="M33" s="16">
        <f>((1-Assumptions!$F$16)*Assumptions!M15)*Assumptions!$F$17</f>
        <v>900000</v>
      </c>
      <c r="N33" s="16">
        <f>((1-Assumptions!$F$16)*Assumptions!N15)*Assumptions!$F$17</f>
        <v>1080000</v>
      </c>
      <c r="O33" s="16">
        <f>((1-Assumptions!$F$16)*Assumptions!O15)*Assumptions!$F$17</f>
        <v>1200000</v>
      </c>
      <c r="P33" s="16">
        <f>((1-Assumptions!$F$16)*Assumptions!P15)*Assumptions!$F$17</f>
        <v>1320000</v>
      </c>
      <c r="Q33" s="16">
        <f>((1-Assumptions!$F$16)*Assumptions!Q15)*Assumptions!$F$17</f>
        <v>1440000</v>
      </c>
      <c r="R33" s="16">
        <f>((1-Assumptions!$F$16)*Assumptions!R15)*Assumptions!$F$17</f>
        <v>1560000</v>
      </c>
      <c r="S33" s="16">
        <f>((1-Assumptions!$F$16)*Assumptions!S15)*Assumptions!$F$17</f>
        <v>1680000</v>
      </c>
      <c r="T33" s="16">
        <f>((1-Assumptions!$F$16)*Assumptions!T15)*Assumptions!$F$17</f>
        <v>1800000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B2A35-0C90-4EE6-B985-63B595447A94}">
  <sheetPr codeName="Sheet8"/>
  <dimension ref="A1:V22"/>
  <sheetViews>
    <sheetView showGridLines="0" zoomScale="71" workbookViewId="0">
      <selection activeCell="W1" sqref="W1:XFD1048576"/>
    </sheetView>
  </sheetViews>
  <sheetFormatPr defaultColWidth="0" defaultRowHeight="14.4" x14ac:dyDescent="0.3"/>
  <cols>
    <col min="1" max="3" width="3.109375" customWidth="1"/>
    <col min="4" max="4" width="32.6640625" bestFit="1" customWidth="1"/>
    <col min="5" max="5" width="23.5546875" bestFit="1" customWidth="1"/>
    <col min="6" max="6" width="14.88671875" bestFit="1" customWidth="1"/>
    <col min="7" max="8" width="8.77734375" customWidth="1"/>
    <col min="9" max="9" width="13.109375" bestFit="1" customWidth="1"/>
    <col min="10" max="20" width="14.77734375" bestFit="1" customWidth="1"/>
    <col min="21" max="22" width="8.77734375" customWidth="1"/>
    <col min="23" max="16384" width="8.77734375" hidden="1"/>
  </cols>
  <sheetData>
    <row r="1" spans="2:20" ht="7.95" customHeight="1" x14ac:dyDescent="0.3"/>
    <row r="2" spans="2:20" ht="37.950000000000003" customHeight="1" x14ac:dyDescent="0.5">
      <c r="B2" s="9" t="str">
        <f>Company</f>
        <v>AirBnB</v>
      </c>
      <c r="C2" s="9"/>
      <c r="D2" s="9"/>
      <c r="E2" s="9"/>
      <c r="F2" s="9"/>
      <c r="G2" s="9"/>
    </row>
    <row r="3" spans="2:20" ht="15" thickBot="1" x14ac:dyDescent="0.35"/>
    <row r="4" spans="2:20" ht="19.2" thickTop="1" thickBot="1" x14ac:dyDescent="0.4">
      <c r="B4" s="10" t="s">
        <v>105</v>
      </c>
      <c r="C4" s="10"/>
      <c r="D4" s="10"/>
      <c r="F4" t="s">
        <v>10</v>
      </c>
      <c r="G4" s="21">
        <f>StartDate</f>
        <v>44866</v>
      </c>
    </row>
    <row r="5" spans="2:20" ht="18.600000000000001" thickTop="1" x14ac:dyDescent="0.35">
      <c r="B5" s="10"/>
      <c r="C5" s="10"/>
      <c r="D5" s="10"/>
    </row>
    <row r="6" spans="2:20" ht="18.600000000000001" thickBot="1" x14ac:dyDescent="0.4">
      <c r="B6" s="10"/>
      <c r="C6" s="10"/>
      <c r="D6" s="10"/>
      <c r="I6" s="20">
        <f>G4</f>
        <v>44866</v>
      </c>
      <c r="J6" s="20">
        <f t="shared" ref="J6:T6" si="0">EOMONTH(I6,1)</f>
        <v>44926</v>
      </c>
      <c r="K6" s="20">
        <f t="shared" si="0"/>
        <v>44957</v>
      </c>
      <c r="L6" s="20">
        <f t="shared" si="0"/>
        <v>44985</v>
      </c>
      <c r="M6" s="20">
        <f t="shared" si="0"/>
        <v>45016</v>
      </c>
      <c r="N6" s="20">
        <f t="shared" si="0"/>
        <v>45046</v>
      </c>
      <c r="O6" s="20">
        <f t="shared" si="0"/>
        <v>45077</v>
      </c>
      <c r="P6" s="20">
        <f t="shared" si="0"/>
        <v>45107</v>
      </c>
      <c r="Q6" s="20">
        <f t="shared" si="0"/>
        <v>45138</v>
      </c>
      <c r="R6" s="20">
        <f t="shared" si="0"/>
        <v>45169</v>
      </c>
      <c r="S6" s="20">
        <f t="shared" si="0"/>
        <v>45199</v>
      </c>
      <c r="T6" s="20">
        <f t="shared" si="0"/>
        <v>45230</v>
      </c>
    </row>
    <row r="7" spans="2:20" ht="15" thickTop="1" x14ac:dyDescent="0.3">
      <c r="I7" s="15"/>
    </row>
    <row r="8" spans="2:20" x14ac:dyDescent="0.3">
      <c r="E8" t="s">
        <v>44</v>
      </c>
      <c r="F8" t="s">
        <v>45</v>
      </c>
    </row>
    <row r="9" spans="2:20" x14ac:dyDescent="0.3">
      <c r="F9" s="17" t="s">
        <v>46</v>
      </c>
    </row>
    <row r="10" spans="2:20" s="22" customFormat="1" x14ac:dyDescent="0.3">
      <c r="D10" s="22" t="s">
        <v>70</v>
      </c>
      <c r="I10" s="27">
        <f>Calculations!I10</f>
        <v>270000</v>
      </c>
      <c r="J10" s="27">
        <f>Calculations!J10</f>
        <v>540000</v>
      </c>
      <c r="K10" s="27">
        <f>Calculations!K10</f>
        <v>810000</v>
      </c>
      <c r="L10" s="27">
        <f>Calculations!L10</f>
        <v>1080000</v>
      </c>
      <c r="M10" s="27">
        <f>Calculations!M10</f>
        <v>1350000</v>
      </c>
      <c r="N10" s="27">
        <f>Calculations!N10</f>
        <v>1620000</v>
      </c>
      <c r="O10" s="27">
        <f>Calculations!O10</f>
        <v>1800000</v>
      </c>
      <c r="P10" s="27">
        <f>Calculations!P10</f>
        <v>1980000</v>
      </c>
      <c r="Q10" s="27">
        <f>Calculations!Q10</f>
        <v>2160000</v>
      </c>
      <c r="R10" s="27">
        <f>Calculations!R10</f>
        <v>2340000</v>
      </c>
      <c r="S10" s="27">
        <f>Calculations!S10</f>
        <v>2520000</v>
      </c>
      <c r="T10" s="27">
        <f>Calculations!T10</f>
        <v>2700000</v>
      </c>
    </row>
    <row r="11" spans="2:20" ht="15" thickBot="1" x14ac:dyDescent="0.35">
      <c r="D11" t="s">
        <v>127</v>
      </c>
      <c r="I11" s="16">
        <f>Calculations!I13</f>
        <v>81000</v>
      </c>
      <c r="J11" s="16">
        <f>Calculations!J13</f>
        <v>162000</v>
      </c>
      <c r="K11" s="16">
        <f>Calculations!K13</f>
        <v>243000</v>
      </c>
      <c r="L11" s="16">
        <f>Calculations!L13</f>
        <v>324000</v>
      </c>
      <c r="M11" s="16">
        <f>Calculations!M13</f>
        <v>405000</v>
      </c>
      <c r="N11" s="16">
        <f>Calculations!N13</f>
        <v>486000</v>
      </c>
      <c r="O11" s="16">
        <f>Calculations!O13</f>
        <v>540000</v>
      </c>
      <c r="P11" s="16">
        <f>Calculations!P13</f>
        <v>594000</v>
      </c>
      <c r="Q11" s="16">
        <f>Calculations!Q13</f>
        <v>648000</v>
      </c>
      <c r="R11" s="16">
        <f>Calculations!R13</f>
        <v>702000</v>
      </c>
      <c r="S11" s="16">
        <f>Calculations!S13</f>
        <v>756000</v>
      </c>
      <c r="T11" s="16">
        <f>Calculations!T13</f>
        <v>810000</v>
      </c>
    </row>
    <row r="12" spans="2:20" ht="15" thickBot="1" x14ac:dyDescent="0.35">
      <c r="D12" s="22" t="s">
        <v>79</v>
      </c>
      <c r="I12" s="36">
        <f>I10-I11</f>
        <v>189000</v>
      </c>
      <c r="J12" s="36">
        <f t="shared" ref="J12:T12" si="1">J10-J11</f>
        <v>378000</v>
      </c>
      <c r="K12" s="36">
        <f t="shared" si="1"/>
        <v>567000</v>
      </c>
      <c r="L12" s="36">
        <f t="shared" si="1"/>
        <v>756000</v>
      </c>
      <c r="M12" s="36">
        <f t="shared" si="1"/>
        <v>945000</v>
      </c>
      <c r="N12" s="36">
        <f t="shared" si="1"/>
        <v>1134000</v>
      </c>
      <c r="O12" s="36">
        <f t="shared" si="1"/>
        <v>1260000</v>
      </c>
      <c r="P12" s="36">
        <f t="shared" si="1"/>
        <v>1386000</v>
      </c>
      <c r="Q12" s="36">
        <f t="shared" si="1"/>
        <v>1512000</v>
      </c>
      <c r="R12" s="36">
        <f t="shared" si="1"/>
        <v>1638000</v>
      </c>
      <c r="S12" s="36">
        <f t="shared" si="1"/>
        <v>1764000</v>
      </c>
      <c r="T12" s="36">
        <f t="shared" si="1"/>
        <v>1890000</v>
      </c>
    </row>
    <row r="13" spans="2:20" x14ac:dyDescent="0.3">
      <c r="D13" s="34" t="s">
        <v>107</v>
      </c>
      <c r="I13" s="35">
        <f>I12/I10</f>
        <v>0.7</v>
      </c>
      <c r="J13" s="35">
        <f t="shared" ref="J13:T13" si="2">J12/J10</f>
        <v>0.7</v>
      </c>
      <c r="K13" s="35">
        <f t="shared" si="2"/>
        <v>0.7</v>
      </c>
      <c r="L13" s="35">
        <f t="shared" si="2"/>
        <v>0.7</v>
      </c>
      <c r="M13" s="35">
        <f t="shared" si="2"/>
        <v>0.7</v>
      </c>
      <c r="N13" s="35">
        <f t="shared" si="2"/>
        <v>0.7</v>
      </c>
      <c r="O13" s="35">
        <f t="shared" si="2"/>
        <v>0.7</v>
      </c>
      <c r="P13" s="35">
        <f t="shared" si="2"/>
        <v>0.7</v>
      </c>
      <c r="Q13" s="35">
        <f t="shared" si="2"/>
        <v>0.7</v>
      </c>
      <c r="R13" s="35">
        <f t="shared" si="2"/>
        <v>0.7</v>
      </c>
      <c r="S13" s="35">
        <f t="shared" si="2"/>
        <v>0.7</v>
      </c>
      <c r="T13" s="35">
        <f t="shared" si="2"/>
        <v>0.7</v>
      </c>
    </row>
    <row r="14" spans="2:20" ht="15" thickBot="1" x14ac:dyDescent="0.35">
      <c r="D14" t="s">
        <v>48</v>
      </c>
      <c r="I14" s="16">
        <f>Calculations!I15</f>
        <v>54000</v>
      </c>
      <c r="J14" s="16">
        <f>Calculations!J15</f>
        <v>108000</v>
      </c>
      <c r="K14" s="16">
        <f>Calculations!K15</f>
        <v>162000</v>
      </c>
      <c r="L14" s="16">
        <f>Calculations!L15</f>
        <v>216000</v>
      </c>
      <c r="M14" s="16">
        <f>Calculations!M15</f>
        <v>270000</v>
      </c>
      <c r="N14" s="16">
        <f>Calculations!N15</f>
        <v>324000</v>
      </c>
      <c r="O14" s="16">
        <f>Calculations!O15</f>
        <v>360000</v>
      </c>
      <c r="P14" s="16">
        <f>Calculations!P15</f>
        <v>396000</v>
      </c>
      <c r="Q14" s="16">
        <f>Calculations!Q15</f>
        <v>432000</v>
      </c>
      <c r="R14" s="16">
        <f>Calculations!R15</f>
        <v>468000</v>
      </c>
      <c r="S14" s="16">
        <f>Calculations!S15</f>
        <v>504000</v>
      </c>
      <c r="T14" s="16">
        <f>Calculations!T15</f>
        <v>540000</v>
      </c>
    </row>
    <row r="15" spans="2:20" ht="15" thickBot="1" x14ac:dyDescent="0.35">
      <c r="D15" s="22" t="s">
        <v>80</v>
      </c>
      <c r="I15" s="36">
        <f>I12-I14</f>
        <v>135000</v>
      </c>
      <c r="J15" s="36">
        <f t="shared" ref="J15:T15" si="3">J12-J14</f>
        <v>270000</v>
      </c>
      <c r="K15" s="36">
        <f t="shared" si="3"/>
        <v>405000</v>
      </c>
      <c r="L15" s="36">
        <f t="shared" si="3"/>
        <v>540000</v>
      </c>
      <c r="M15" s="36">
        <f t="shared" si="3"/>
        <v>675000</v>
      </c>
      <c r="N15" s="36">
        <f t="shared" si="3"/>
        <v>810000</v>
      </c>
      <c r="O15" s="36">
        <f t="shared" si="3"/>
        <v>900000</v>
      </c>
      <c r="P15" s="36">
        <f t="shared" si="3"/>
        <v>990000</v>
      </c>
      <c r="Q15" s="36">
        <f t="shared" si="3"/>
        <v>1080000</v>
      </c>
      <c r="R15" s="36">
        <f t="shared" si="3"/>
        <v>1170000</v>
      </c>
      <c r="S15" s="36">
        <f t="shared" si="3"/>
        <v>1260000</v>
      </c>
      <c r="T15" s="36">
        <f t="shared" si="3"/>
        <v>1350000</v>
      </c>
    </row>
    <row r="16" spans="2:20" x14ac:dyDescent="0.3">
      <c r="D16" s="34" t="s">
        <v>108</v>
      </c>
      <c r="I16" s="35">
        <f>I15/I10</f>
        <v>0.5</v>
      </c>
      <c r="J16" s="35">
        <f t="shared" ref="J16:T16" si="4">J15/J10</f>
        <v>0.5</v>
      </c>
      <c r="K16" s="35">
        <f t="shared" si="4"/>
        <v>0.5</v>
      </c>
      <c r="L16" s="35">
        <f t="shared" si="4"/>
        <v>0.5</v>
      </c>
      <c r="M16" s="35">
        <f t="shared" si="4"/>
        <v>0.5</v>
      </c>
      <c r="N16" s="35">
        <f t="shared" si="4"/>
        <v>0.5</v>
      </c>
      <c r="O16" s="35">
        <f t="shared" si="4"/>
        <v>0.5</v>
      </c>
      <c r="P16" s="35">
        <f t="shared" si="4"/>
        <v>0.5</v>
      </c>
      <c r="Q16" s="35">
        <f t="shared" si="4"/>
        <v>0.5</v>
      </c>
      <c r="R16" s="35">
        <f t="shared" si="4"/>
        <v>0.5</v>
      </c>
      <c r="S16" s="35">
        <f t="shared" si="4"/>
        <v>0.5</v>
      </c>
      <c r="T16" s="35">
        <f t="shared" si="4"/>
        <v>0.5</v>
      </c>
    </row>
    <row r="17" spans="4:20" ht="15" thickBot="1" x14ac:dyDescent="0.35">
      <c r="D17" t="s">
        <v>55</v>
      </c>
      <c r="I17" s="26">
        <f>Calculations!I28</f>
        <v>75000</v>
      </c>
      <c r="J17" s="26">
        <f>Calculations!J28</f>
        <v>75000</v>
      </c>
      <c r="K17" s="26">
        <f>Calculations!K28</f>
        <v>75000</v>
      </c>
      <c r="L17" s="26">
        <f>Calculations!L28</f>
        <v>75000</v>
      </c>
      <c r="M17" s="26">
        <f>Calculations!M28</f>
        <v>75000</v>
      </c>
      <c r="N17" s="26">
        <f>Calculations!N28</f>
        <v>75000</v>
      </c>
      <c r="O17" s="26">
        <f>Calculations!O28</f>
        <v>75000</v>
      </c>
      <c r="P17" s="26">
        <f>Calculations!P28</f>
        <v>75000</v>
      </c>
      <c r="Q17" s="26">
        <f>Calculations!Q28</f>
        <v>75000</v>
      </c>
      <c r="R17" s="26">
        <f>Calculations!R28</f>
        <v>75000</v>
      </c>
      <c r="S17" s="26">
        <f>Calculations!S28</f>
        <v>75000</v>
      </c>
      <c r="T17" s="26">
        <f>Calculations!T28</f>
        <v>75000</v>
      </c>
    </row>
    <row r="18" spans="4:20" x14ac:dyDescent="0.3">
      <c r="D18" s="22" t="s">
        <v>81</v>
      </c>
      <c r="I18" s="36">
        <f>I15-I17</f>
        <v>60000</v>
      </c>
      <c r="J18" s="36">
        <f t="shared" ref="J18:T18" si="5">J15-J17</f>
        <v>195000</v>
      </c>
      <c r="K18" s="36">
        <f t="shared" si="5"/>
        <v>330000</v>
      </c>
      <c r="L18" s="36">
        <f t="shared" si="5"/>
        <v>465000</v>
      </c>
      <c r="M18" s="36">
        <f t="shared" si="5"/>
        <v>600000</v>
      </c>
      <c r="N18" s="36">
        <f t="shared" si="5"/>
        <v>735000</v>
      </c>
      <c r="O18" s="36">
        <f t="shared" si="5"/>
        <v>825000</v>
      </c>
      <c r="P18" s="36">
        <f t="shared" si="5"/>
        <v>915000</v>
      </c>
      <c r="Q18" s="36">
        <f t="shared" si="5"/>
        <v>1005000</v>
      </c>
      <c r="R18" s="36">
        <f t="shared" si="5"/>
        <v>1095000</v>
      </c>
      <c r="S18" s="36">
        <f t="shared" si="5"/>
        <v>1185000</v>
      </c>
      <c r="T18" s="36">
        <f t="shared" si="5"/>
        <v>1275000</v>
      </c>
    </row>
    <row r="19" spans="4:20" x14ac:dyDescent="0.3">
      <c r="D19" t="s">
        <v>82</v>
      </c>
      <c r="I19" s="16">
        <f>Assumptions!$F$27*'P&amp;L'!I18</f>
        <v>19200</v>
      </c>
      <c r="J19" s="16">
        <f>Assumptions!$F$27*'P&amp;L'!J18</f>
        <v>62400</v>
      </c>
      <c r="K19" s="16">
        <f>Assumptions!$F$27*'P&amp;L'!K18</f>
        <v>105600</v>
      </c>
      <c r="L19" s="16">
        <f>Assumptions!$F$27*'P&amp;L'!L18</f>
        <v>148800</v>
      </c>
      <c r="M19" s="16">
        <f>Assumptions!$F$27*'P&amp;L'!M18</f>
        <v>192000</v>
      </c>
      <c r="N19" s="16">
        <f>Assumptions!$F$27*'P&amp;L'!N18</f>
        <v>235200</v>
      </c>
      <c r="O19" s="16">
        <f>Assumptions!$F$27*'P&amp;L'!O18</f>
        <v>264000</v>
      </c>
      <c r="P19" s="16">
        <f>Assumptions!$F$27*'P&amp;L'!P18</f>
        <v>292800</v>
      </c>
      <c r="Q19" s="16">
        <f>Assumptions!$F$27*'P&amp;L'!Q18</f>
        <v>321600</v>
      </c>
      <c r="R19" s="16">
        <f>Assumptions!$F$27*'P&amp;L'!R18</f>
        <v>350400</v>
      </c>
      <c r="S19" s="16">
        <f>Assumptions!$F$27*'P&amp;L'!S18</f>
        <v>379200</v>
      </c>
      <c r="T19" s="16">
        <f>Assumptions!$F$27*'P&amp;L'!T18</f>
        <v>408000</v>
      </c>
    </row>
    <row r="20" spans="4:20" ht="15" thickBot="1" x14ac:dyDescent="0.35">
      <c r="D20" s="22" t="s">
        <v>110</v>
      </c>
      <c r="I20" s="25">
        <f>I18-I19</f>
        <v>40800</v>
      </c>
      <c r="J20" s="25">
        <f t="shared" ref="J20:T20" si="6">J18-J19</f>
        <v>132600</v>
      </c>
      <c r="K20" s="25">
        <f t="shared" si="6"/>
        <v>224400</v>
      </c>
      <c r="L20" s="25">
        <f t="shared" si="6"/>
        <v>316200</v>
      </c>
      <c r="M20" s="25">
        <f t="shared" si="6"/>
        <v>408000</v>
      </c>
      <c r="N20" s="25">
        <f t="shared" si="6"/>
        <v>499800</v>
      </c>
      <c r="O20" s="25">
        <f t="shared" si="6"/>
        <v>561000</v>
      </c>
      <c r="P20" s="25">
        <f t="shared" si="6"/>
        <v>622200</v>
      </c>
      <c r="Q20" s="25">
        <f t="shared" si="6"/>
        <v>683400</v>
      </c>
      <c r="R20" s="25">
        <f t="shared" si="6"/>
        <v>744600</v>
      </c>
      <c r="S20" s="25">
        <f t="shared" si="6"/>
        <v>805800</v>
      </c>
      <c r="T20" s="25">
        <f t="shared" si="6"/>
        <v>867000</v>
      </c>
    </row>
    <row r="21" spans="4:20" ht="15" thickTop="1" x14ac:dyDescent="0.3"/>
    <row r="22" spans="4:20" x14ac:dyDescent="0.3">
      <c r="D22" s="34" t="s">
        <v>109</v>
      </c>
      <c r="I22" s="33">
        <f>I20/I10</f>
        <v>0.15111111111111111</v>
      </c>
      <c r="J22" s="33">
        <f t="shared" ref="J22:T22" si="7">J20/J10</f>
        <v>0.24555555555555555</v>
      </c>
      <c r="K22" s="33">
        <f t="shared" si="7"/>
        <v>0.27703703703703703</v>
      </c>
      <c r="L22" s="33">
        <f t="shared" si="7"/>
        <v>0.2927777777777778</v>
      </c>
      <c r="M22" s="33">
        <f t="shared" si="7"/>
        <v>0.30222222222222223</v>
      </c>
      <c r="N22" s="33">
        <f t="shared" si="7"/>
        <v>0.30851851851851853</v>
      </c>
      <c r="O22" s="33">
        <f t="shared" si="7"/>
        <v>0.31166666666666665</v>
      </c>
      <c r="P22" s="33">
        <f t="shared" si="7"/>
        <v>0.31424242424242427</v>
      </c>
      <c r="Q22" s="33">
        <f t="shared" si="7"/>
        <v>0.31638888888888889</v>
      </c>
      <c r="R22" s="33">
        <f t="shared" si="7"/>
        <v>0.3182051282051282</v>
      </c>
      <c r="S22" s="33">
        <f t="shared" si="7"/>
        <v>0.31976190476190475</v>
      </c>
      <c r="T22" s="33">
        <f t="shared" si="7"/>
        <v>0.32111111111111112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5B111-D2FC-409B-B2EF-95DC781B2036}">
  <sheetPr codeName="Sheet7"/>
  <dimension ref="A1:V31"/>
  <sheetViews>
    <sheetView showGridLines="0" zoomScale="53" zoomScaleNormal="100" workbookViewId="0">
      <selection activeCell="I7" sqref="I7"/>
    </sheetView>
  </sheetViews>
  <sheetFormatPr defaultColWidth="0" defaultRowHeight="14.4" x14ac:dyDescent="0.3"/>
  <cols>
    <col min="1" max="3" width="3.109375" customWidth="1"/>
    <col min="4" max="4" width="32.6640625" bestFit="1" customWidth="1"/>
    <col min="5" max="5" width="23.5546875" bestFit="1" customWidth="1"/>
    <col min="6" max="6" width="14.88671875" bestFit="1" customWidth="1"/>
    <col min="7" max="7" width="8.77734375" customWidth="1"/>
    <col min="8" max="8" width="3.109375" customWidth="1"/>
    <col min="9" max="9" width="21.6640625" bestFit="1" customWidth="1"/>
    <col min="10" max="10" width="21.33203125" bestFit="1" customWidth="1"/>
    <col min="11" max="13" width="21.6640625" bestFit="1" customWidth="1"/>
    <col min="14" max="14" width="21.33203125" bestFit="1" customWidth="1"/>
    <col min="15" max="18" width="21.6640625" bestFit="1" customWidth="1"/>
    <col min="19" max="19" width="22.33203125" bestFit="1" customWidth="1"/>
    <col min="20" max="20" width="21.33203125" bestFit="1" customWidth="1"/>
    <col min="21" max="22" width="8.77734375" customWidth="1"/>
    <col min="23" max="16384" width="8.77734375" hidden="1"/>
  </cols>
  <sheetData>
    <row r="1" spans="2:20" ht="7.95" customHeight="1" x14ac:dyDescent="0.3"/>
    <row r="2" spans="2:20" ht="37.950000000000003" customHeight="1" x14ac:dyDescent="0.5">
      <c r="B2" s="9" t="str">
        <f>Company</f>
        <v>AirBnB</v>
      </c>
      <c r="C2" s="9"/>
      <c r="D2" s="9"/>
      <c r="E2" s="9"/>
      <c r="F2" s="9"/>
      <c r="G2" s="9"/>
    </row>
    <row r="3" spans="2:20" ht="15" thickBot="1" x14ac:dyDescent="0.35"/>
    <row r="4" spans="2:20" ht="19.2" thickTop="1" thickBot="1" x14ac:dyDescent="0.4">
      <c r="B4" s="10" t="s">
        <v>20</v>
      </c>
      <c r="C4" s="10"/>
      <c r="D4" s="10"/>
      <c r="F4" t="s">
        <v>10</v>
      </c>
      <c r="G4" s="21">
        <f>StartDate</f>
        <v>44866</v>
      </c>
    </row>
    <row r="5" spans="2:20" ht="18.600000000000001" thickTop="1" x14ac:dyDescent="0.35">
      <c r="B5" s="10"/>
      <c r="C5" s="10"/>
      <c r="D5" s="10"/>
    </row>
    <row r="6" spans="2:20" ht="18.600000000000001" thickBot="1" x14ac:dyDescent="0.4">
      <c r="B6" s="10"/>
      <c r="C6" s="10"/>
      <c r="D6" s="10"/>
      <c r="I6" s="20">
        <f>G4</f>
        <v>44866</v>
      </c>
      <c r="J6" s="20">
        <f t="shared" ref="J6:T6" si="0">EOMONTH(I6,1)</f>
        <v>44926</v>
      </c>
      <c r="K6" s="20">
        <f t="shared" si="0"/>
        <v>44957</v>
      </c>
      <c r="L6" s="20">
        <f t="shared" si="0"/>
        <v>44985</v>
      </c>
      <c r="M6" s="20">
        <f t="shared" si="0"/>
        <v>45016</v>
      </c>
      <c r="N6" s="20">
        <f t="shared" si="0"/>
        <v>45046</v>
      </c>
      <c r="O6" s="20">
        <f t="shared" si="0"/>
        <v>45077</v>
      </c>
      <c r="P6" s="20">
        <f t="shared" si="0"/>
        <v>45107</v>
      </c>
      <c r="Q6" s="20">
        <f t="shared" si="0"/>
        <v>45138</v>
      </c>
      <c r="R6" s="20">
        <f t="shared" si="0"/>
        <v>45169</v>
      </c>
      <c r="S6" s="20">
        <f t="shared" si="0"/>
        <v>45199</v>
      </c>
      <c r="T6" s="20">
        <f t="shared" si="0"/>
        <v>45230</v>
      </c>
    </row>
    <row r="7" spans="2:20" ht="15" thickTop="1" x14ac:dyDescent="0.3">
      <c r="F7" t="s">
        <v>106</v>
      </c>
      <c r="I7" s="7" t="str">
        <f>IF(I30=I20,"OK",I30-I20)</f>
        <v>OK</v>
      </c>
      <c r="J7" s="7" t="str">
        <f t="shared" ref="J7:T7" si="1">IF(J30=J20,"OK",J30-J20)</f>
        <v>OK</v>
      </c>
      <c r="K7" s="7" t="str">
        <f t="shared" si="1"/>
        <v>OK</v>
      </c>
      <c r="L7" s="7" t="str">
        <f t="shared" si="1"/>
        <v>OK</v>
      </c>
      <c r="M7" s="7" t="str">
        <f t="shared" si="1"/>
        <v>OK</v>
      </c>
      <c r="N7" s="7" t="str">
        <f t="shared" si="1"/>
        <v>OK</v>
      </c>
      <c r="O7" s="7" t="str">
        <f t="shared" si="1"/>
        <v>OK</v>
      </c>
      <c r="P7" s="7" t="str">
        <f t="shared" si="1"/>
        <v>OK</v>
      </c>
      <c r="Q7" s="7" t="str">
        <f t="shared" si="1"/>
        <v>OK</v>
      </c>
      <c r="R7" s="7" t="str">
        <f t="shared" si="1"/>
        <v>OK</v>
      </c>
      <c r="S7" s="7" t="str">
        <f t="shared" si="1"/>
        <v>OK</v>
      </c>
      <c r="T7" s="7" t="str">
        <f t="shared" si="1"/>
        <v>OK</v>
      </c>
    </row>
    <row r="8" spans="2:20" x14ac:dyDescent="0.3">
      <c r="E8" t="s">
        <v>44</v>
      </c>
      <c r="F8" t="s">
        <v>45</v>
      </c>
    </row>
    <row r="9" spans="2:20" x14ac:dyDescent="0.3">
      <c r="F9" s="17" t="s">
        <v>46</v>
      </c>
    </row>
    <row r="10" spans="2:20" x14ac:dyDescent="0.3">
      <c r="D10" s="22" t="s">
        <v>83</v>
      </c>
    </row>
    <row r="12" spans="2:20" x14ac:dyDescent="0.3">
      <c r="D12" s="22" t="s">
        <v>84</v>
      </c>
    </row>
    <row r="13" spans="2:20" x14ac:dyDescent="0.3">
      <c r="D13" t="s">
        <v>54</v>
      </c>
      <c r="I13" s="16">
        <f>Calculations!I29</f>
        <v>8925000</v>
      </c>
      <c r="J13" s="16">
        <f>Calculations!J29</f>
        <v>8850000</v>
      </c>
      <c r="K13" s="16">
        <f>Calculations!K29</f>
        <v>8775000</v>
      </c>
      <c r="L13" s="16">
        <f>Calculations!L29</f>
        <v>8700000</v>
      </c>
      <c r="M13" s="16">
        <f>Calculations!M29</f>
        <v>8625000</v>
      </c>
      <c r="N13" s="16">
        <f>Calculations!N29</f>
        <v>8550000</v>
      </c>
      <c r="O13" s="16">
        <f>Calculations!O29</f>
        <v>8475000</v>
      </c>
      <c r="P13" s="16">
        <f>Calculations!P29</f>
        <v>8400000</v>
      </c>
      <c r="Q13" s="16">
        <f>Calculations!Q29</f>
        <v>8325000</v>
      </c>
      <c r="R13" s="16">
        <f>Calculations!R29</f>
        <v>8250000</v>
      </c>
      <c r="S13" s="16">
        <f>Calculations!S29</f>
        <v>8175000</v>
      </c>
      <c r="T13" s="16">
        <f>Calculations!T29</f>
        <v>8100000</v>
      </c>
    </row>
    <row r="15" spans="2:20" x14ac:dyDescent="0.3">
      <c r="D15" s="22" t="s">
        <v>85</v>
      </c>
    </row>
    <row r="16" spans="2:20" x14ac:dyDescent="0.3">
      <c r="D16" t="s">
        <v>86</v>
      </c>
      <c r="I16" s="16">
        <f>'Cashflow Statement'!I29</f>
        <v>5957400</v>
      </c>
      <c r="J16" s="16">
        <f>'Cashflow Statement'!J29</f>
        <v>6006600</v>
      </c>
      <c r="K16" s="16">
        <f>'Cashflow Statement'!K29</f>
        <v>6147600</v>
      </c>
      <c r="L16" s="16">
        <f>'Cashflow Statement'!L29</f>
        <v>6380400</v>
      </c>
      <c r="M16" s="16">
        <f>'Cashflow Statement'!M29</f>
        <v>6705000</v>
      </c>
      <c r="N16" s="16">
        <f>'Cashflow Statement'!N29</f>
        <v>7121400</v>
      </c>
      <c r="O16" s="16">
        <f>'Cashflow Statement'!O29</f>
        <v>7651800</v>
      </c>
      <c r="P16" s="16">
        <f>'Cashflow Statement'!P29</f>
        <v>8243400</v>
      </c>
      <c r="Q16" s="16">
        <f>'Cashflow Statement'!Q29</f>
        <v>8896200</v>
      </c>
      <c r="R16" s="16">
        <f>'Cashflow Statement'!R29</f>
        <v>9610200</v>
      </c>
      <c r="S16" s="16">
        <f>'Cashflow Statement'!S29</f>
        <v>10385400</v>
      </c>
      <c r="T16" s="16">
        <f>'Cashflow Statement'!T29</f>
        <v>11221800</v>
      </c>
    </row>
    <row r="17" spans="4:20" x14ac:dyDescent="0.3">
      <c r="D17" t="s">
        <v>128</v>
      </c>
      <c r="I17" s="16">
        <f>Calculations!I33</f>
        <v>180000</v>
      </c>
      <c r="J17" s="16">
        <f>Calculations!J33</f>
        <v>360000</v>
      </c>
      <c r="K17" s="16">
        <f>Calculations!K33</f>
        <v>540000</v>
      </c>
      <c r="L17" s="16">
        <f>Calculations!L33</f>
        <v>720000</v>
      </c>
      <c r="M17" s="16">
        <f>Calculations!M33</f>
        <v>900000</v>
      </c>
      <c r="N17" s="16">
        <f>Calculations!N33</f>
        <v>1080000</v>
      </c>
      <c r="O17" s="16">
        <f>Calculations!O33</f>
        <v>1200000</v>
      </c>
      <c r="P17" s="16">
        <f>Calculations!P33</f>
        <v>1320000</v>
      </c>
      <c r="Q17" s="16">
        <f>Calculations!Q33</f>
        <v>1440000</v>
      </c>
      <c r="R17" s="16">
        <f>Calculations!R33</f>
        <v>1560000</v>
      </c>
      <c r="S17" s="16">
        <f>Calculations!S33</f>
        <v>1680000</v>
      </c>
      <c r="T17" s="16">
        <f>Calculations!T33</f>
        <v>1800000</v>
      </c>
    </row>
    <row r="18" spans="4:20" s="22" customFormat="1" x14ac:dyDescent="0.3">
      <c r="D18" s="22" t="s">
        <v>131</v>
      </c>
      <c r="I18" s="27">
        <f>SUM(I16:I17)</f>
        <v>6137400</v>
      </c>
      <c r="J18" s="27">
        <f t="shared" ref="J18:T18" si="2">SUM(J16:J17)</f>
        <v>6366600</v>
      </c>
      <c r="K18" s="27">
        <f t="shared" si="2"/>
        <v>6687600</v>
      </c>
      <c r="L18" s="27">
        <f t="shared" si="2"/>
        <v>7100400</v>
      </c>
      <c r="M18" s="27">
        <f t="shared" si="2"/>
        <v>7605000</v>
      </c>
      <c r="N18" s="27">
        <f t="shared" si="2"/>
        <v>8201400</v>
      </c>
      <c r="O18" s="27">
        <f t="shared" si="2"/>
        <v>8851800</v>
      </c>
      <c r="P18" s="27">
        <f t="shared" si="2"/>
        <v>9563400</v>
      </c>
      <c r="Q18" s="27">
        <f t="shared" si="2"/>
        <v>10336200</v>
      </c>
      <c r="R18" s="27">
        <f t="shared" si="2"/>
        <v>11170200</v>
      </c>
      <c r="S18" s="27">
        <f t="shared" si="2"/>
        <v>12065400</v>
      </c>
      <c r="T18" s="27">
        <f t="shared" si="2"/>
        <v>13021800</v>
      </c>
    </row>
    <row r="19" spans="4:20" s="22" customFormat="1" x14ac:dyDescent="0.3"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</row>
    <row r="20" spans="4:20" ht="15" thickBot="1" x14ac:dyDescent="0.35">
      <c r="D20" s="22" t="s">
        <v>92</v>
      </c>
      <c r="I20" s="25">
        <f>I18+I13</f>
        <v>15062400</v>
      </c>
      <c r="J20" s="25">
        <f t="shared" ref="J20:T20" si="3">J18+J13</f>
        <v>15216600</v>
      </c>
      <c r="K20" s="25">
        <f t="shared" si="3"/>
        <v>15462600</v>
      </c>
      <c r="L20" s="25">
        <f t="shared" si="3"/>
        <v>15800400</v>
      </c>
      <c r="M20" s="25">
        <f t="shared" si="3"/>
        <v>16230000</v>
      </c>
      <c r="N20" s="25">
        <f t="shared" si="3"/>
        <v>16751400</v>
      </c>
      <c r="O20" s="25">
        <f t="shared" si="3"/>
        <v>17326800</v>
      </c>
      <c r="P20" s="25">
        <f t="shared" si="3"/>
        <v>17963400</v>
      </c>
      <c r="Q20" s="25">
        <f t="shared" si="3"/>
        <v>18661200</v>
      </c>
      <c r="R20" s="25">
        <f t="shared" si="3"/>
        <v>19420200</v>
      </c>
      <c r="S20" s="25">
        <f t="shared" si="3"/>
        <v>20240400</v>
      </c>
      <c r="T20" s="25">
        <f t="shared" si="3"/>
        <v>21121800</v>
      </c>
    </row>
    <row r="21" spans="4:20" ht="15" thickTop="1" x14ac:dyDescent="0.3"/>
    <row r="22" spans="4:20" x14ac:dyDescent="0.3">
      <c r="D22" s="22" t="s">
        <v>87</v>
      </c>
    </row>
    <row r="23" spans="4:20" x14ac:dyDescent="0.3">
      <c r="D23" t="s">
        <v>88</v>
      </c>
      <c r="I23" s="16">
        <f>Calculations!I23</f>
        <v>15000000</v>
      </c>
      <c r="J23" s="16">
        <f>Calculations!J23</f>
        <v>15000000</v>
      </c>
      <c r="K23" s="16">
        <f>Calculations!K23</f>
        <v>15000000</v>
      </c>
      <c r="L23" s="16">
        <f>Calculations!L23</f>
        <v>15000000</v>
      </c>
      <c r="M23" s="16">
        <f>Calculations!M23</f>
        <v>15000000</v>
      </c>
      <c r="N23" s="16">
        <f>Calculations!N23</f>
        <v>15000000</v>
      </c>
      <c r="O23" s="16">
        <f>Calculations!O23</f>
        <v>15000000</v>
      </c>
      <c r="P23" s="16">
        <f>Calculations!P23</f>
        <v>15000000</v>
      </c>
      <c r="Q23" s="16">
        <f>Calculations!Q23</f>
        <v>15000000</v>
      </c>
      <c r="R23" s="16">
        <f>Calculations!R23</f>
        <v>15000000</v>
      </c>
      <c r="S23" s="16">
        <f>Calculations!S23</f>
        <v>15000000</v>
      </c>
      <c r="T23" s="16">
        <f>Calculations!T23</f>
        <v>15000000</v>
      </c>
    </row>
    <row r="24" spans="4:20" ht="15" thickBot="1" x14ac:dyDescent="0.35">
      <c r="D24" t="s">
        <v>89</v>
      </c>
      <c r="I24" s="16">
        <f>Assumptions!$F$48*'P&amp;L'!I20</f>
        <v>40800</v>
      </c>
      <c r="J24" s="16">
        <f>I24+(Assumptions!$F$48*'P&amp;L'!J20)</f>
        <v>173400</v>
      </c>
      <c r="K24" s="16">
        <f>J24+(Assumptions!$F$48*'P&amp;L'!K20)</f>
        <v>397800</v>
      </c>
      <c r="L24" s="16">
        <f>K24+(Assumptions!$F$48*'P&amp;L'!L20)</f>
        <v>714000</v>
      </c>
      <c r="M24" s="16">
        <f>L24+(Assumptions!$F$48*'P&amp;L'!M20)</f>
        <v>1122000</v>
      </c>
      <c r="N24" s="16">
        <f>M24+(Assumptions!$F$48*'P&amp;L'!N20)</f>
        <v>1621800</v>
      </c>
      <c r="O24" s="16">
        <f>N24+(Assumptions!$F$48*'P&amp;L'!O20)</f>
        <v>2182800</v>
      </c>
      <c r="P24" s="16">
        <f>O24+(Assumptions!$F$48*'P&amp;L'!P20)</f>
        <v>2805000</v>
      </c>
      <c r="Q24" s="16">
        <f>P24+(Assumptions!$F$48*'P&amp;L'!Q20)</f>
        <v>3488400</v>
      </c>
      <c r="R24" s="16">
        <f>Q24+(Assumptions!$F$48*'P&amp;L'!R20)</f>
        <v>4233000</v>
      </c>
      <c r="S24" s="16">
        <f>R24+(Assumptions!$F$48*'P&amp;L'!S20)</f>
        <v>5038800</v>
      </c>
      <c r="T24" s="16">
        <f>S24+(Assumptions!$F$48*'P&amp;L'!T20)</f>
        <v>5905800</v>
      </c>
    </row>
    <row r="25" spans="4:20" x14ac:dyDescent="0.3">
      <c r="D25" s="22" t="s">
        <v>90</v>
      </c>
      <c r="I25" s="28">
        <f>SUM(I23:I24)</f>
        <v>15040800</v>
      </c>
      <c r="J25" s="28">
        <f t="shared" ref="J25:T25" si="4">SUM(J23:J24)</f>
        <v>15173400</v>
      </c>
      <c r="K25" s="28">
        <f t="shared" si="4"/>
        <v>15397800</v>
      </c>
      <c r="L25" s="28">
        <f t="shared" si="4"/>
        <v>15714000</v>
      </c>
      <c r="M25" s="28">
        <f t="shared" si="4"/>
        <v>16122000</v>
      </c>
      <c r="N25" s="28">
        <f t="shared" si="4"/>
        <v>16621800</v>
      </c>
      <c r="O25" s="28">
        <f t="shared" si="4"/>
        <v>17182800</v>
      </c>
      <c r="P25" s="28">
        <f t="shared" si="4"/>
        <v>17805000</v>
      </c>
      <c r="Q25" s="28">
        <f t="shared" si="4"/>
        <v>18488400</v>
      </c>
      <c r="R25" s="28">
        <f t="shared" si="4"/>
        <v>19233000</v>
      </c>
      <c r="S25" s="28">
        <f t="shared" si="4"/>
        <v>20038800</v>
      </c>
      <c r="T25" s="28">
        <f t="shared" si="4"/>
        <v>20905800</v>
      </c>
    </row>
    <row r="27" spans="4:20" ht="15" thickBot="1" x14ac:dyDescent="0.35">
      <c r="D27" s="22" t="s">
        <v>91</v>
      </c>
    </row>
    <row r="28" spans="4:20" x14ac:dyDescent="0.3">
      <c r="D28" t="s">
        <v>51</v>
      </c>
      <c r="I28" s="28">
        <f>Calculations!I18</f>
        <v>21600</v>
      </c>
      <c r="J28" s="28">
        <f>Calculations!J18</f>
        <v>43200</v>
      </c>
      <c r="K28" s="28">
        <f>Calculations!K18</f>
        <v>64800</v>
      </c>
      <c r="L28" s="28">
        <f>Calculations!L18</f>
        <v>86400</v>
      </c>
      <c r="M28" s="28">
        <f>Calculations!M18</f>
        <v>108000</v>
      </c>
      <c r="N28" s="28">
        <f>Calculations!N18</f>
        <v>129600</v>
      </c>
      <c r="O28" s="28">
        <f>Calculations!O18</f>
        <v>144000</v>
      </c>
      <c r="P28" s="28">
        <f>Calculations!P18</f>
        <v>158400</v>
      </c>
      <c r="Q28" s="28">
        <f>Calculations!Q18</f>
        <v>172800</v>
      </c>
      <c r="R28" s="28">
        <f>Calculations!R18</f>
        <v>187200</v>
      </c>
      <c r="S28" s="28">
        <f>Calculations!S18</f>
        <v>201600</v>
      </c>
      <c r="T28" s="28">
        <f>Calculations!T18</f>
        <v>216000</v>
      </c>
    </row>
    <row r="30" spans="4:20" ht="15" thickBot="1" x14ac:dyDescent="0.35">
      <c r="D30" s="22" t="s">
        <v>113</v>
      </c>
      <c r="I30" s="25">
        <f>I25+I28</f>
        <v>15062400</v>
      </c>
      <c r="J30" s="25">
        <f t="shared" ref="J30:T30" si="5">J25+J28</f>
        <v>15216600</v>
      </c>
      <c r="K30" s="25">
        <f t="shared" si="5"/>
        <v>15462600</v>
      </c>
      <c r="L30" s="25">
        <f t="shared" si="5"/>
        <v>15800400</v>
      </c>
      <c r="M30" s="25">
        <f t="shared" si="5"/>
        <v>16230000</v>
      </c>
      <c r="N30" s="25">
        <f t="shared" si="5"/>
        <v>16751400</v>
      </c>
      <c r="O30" s="25">
        <f t="shared" si="5"/>
        <v>17326800</v>
      </c>
      <c r="P30" s="25">
        <f t="shared" si="5"/>
        <v>17963400</v>
      </c>
      <c r="Q30" s="25">
        <f t="shared" si="5"/>
        <v>18661200</v>
      </c>
      <c r="R30" s="25">
        <f t="shared" si="5"/>
        <v>19420200</v>
      </c>
      <c r="S30" s="25">
        <f t="shared" si="5"/>
        <v>20240400</v>
      </c>
      <c r="T30" s="25">
        <f t="shared" si="5"/>
        <v>21121800</v>
      </c>
    </row>
    <row r="31" spans="4:20" ht="15" thickTop="1" x14ac:dyDescent="0.3"/>
  </sheetData>
  <conditionalFormatting sqref="I7:T7">
    <cfRule type="cellIs" dxfId="0" priority="1" operator="notEqual">
      <formula>"OK"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887FB-A62E-4A07-8D34-54D9620F8F83}">
  <sheetPr codeName="Sheet9"/>
  <dimension ref="A1:V30"/>
  <sheetViews>
    <sheetView showGridLines="0" tabSelected="1" topLeftCell="F3" zoomScale="60" workbookViewId="0">
      <selection activeCell="W1" sqref="W1"/>
    </sheetView>
  </sheetViews>
  <sheetFormatPr defaultColWidth="0" defaultRowHeight="14.4" x14ac:dyDescent="0.3"/>
  <cols>
    <col min="1" max="3" width="3.109375" customWidth="1"/>
    <col min="4" max="4" width="32.6640625" bestFit="1" customWidth="1"/>
    <col min="5" max="5" width="23.5546875" bestFit="1" customWidth="1"/>
    <col min="6" max="6" width="14.88671875" bestFit="1" customWidth="1"/>
    <col min="7" max="7" width="8.77734375" bestFit="1" customWidth="1"/>
    <col min="8" max="8" width="8.77734375" customWidth="1"/>
    <col min="9" max="9" width="15.6640625" bestFit="1" customWidth="1"/>
    <col min="10" max="14" width="14.6640625" bestFit="1" customWidth="1"/>
    <col min="15" max="20" width="15.77734375" bestFit="1" customWidth="1"/>
    <col min="21" max="21" width="13.109375" bestFit="1" customWidth="1"/>
    <col min="22" max="22" width="8.77734375" customWidth="1"/>
    <col min="23" max="16384" width="8.77734375" hidden="1"/>
  </cols>
  <sheetData>
    <row r="1" spans="2:21" ht="7.95" customHeight="1" x14ac:dyDescent="0.3"/>
    <row r="2" spans="2:21" ht="37.950000000000003" customHeight="1" x14ac:dyDescent="0.5">
      <c r="B2" s="9" t="str">
        <f>Company</f>
        <v>AirBnB</v>
      </c>
      <c r="C2" s="9"/>
      <c r="D2" s="9"/>
      <c r="E2" s="9"/>
      <c r="F2" s="9"/>
      <c r="G2" s="9"/>
    </row>
    <row r="3" spans="2:21" ht="15" thickBot="1" x14ac:dyDescent="0.35"/>
    <row r="4" spans="2:21" ht="19.2" thickTop="1" thickBot="1" x14ac:dyDescent="0.4">
      <c r="B4" s="10" t="s">
        <v>21</v>
      </c>
      <c r="C4" s="10"/>
      <c r="D4" s="10"/>
      <c r="F4" t="s">
        <v>10</v>
      </c>
      <c r="G4" s="21">
        <f>StartDate</f>
        <v>44866</v>
      </c>
    </row>
    <row r="5" spans="2:21" ht="18.600000000000001" thickTop="1" x14ac:dyDescent="0.35">
      <c r="B5" s="10"/>
      <c r="C5" s="10"/>
      <c r="D5" s="10"/>
    </row>
    <row r="6" spans="2:21" ht="18.600000000000001" thickBot="1" x14ac:dyDescent="0.4">
      <c r="B6" s="10"/>
      <c r="C6" s="10"/>
      <c r="D6" s="10"/>
      <c r="I6" s="20">
        <f>G4</f>
        <v>44866</v>
      </c>
      <c r="J6" s="20">
        <f t="shared" ref="J6:T6" si="0">EOMONTH(I6,1)</f>
        <v>44926</v>
      </c>
      <c r="K6" s="20">
        <f t="shared" si="0"/>
        <v>44957</v>
      </c>
      <c r="L6" s="20">
        <f t="shared" si="0"/>
        <v>44985</v>
      </c>
      <c r="M6" s="20">
        <f t="shared" si="0"/>
        <v>45016</v>
      </c>
      <c r="N6" s="20">
        <f t="shared" si="0"/>
        <v>45046</v>
      </c>
      <c r="O6" s="20">
        <f t="shared" si="0"/>
        <v>45077</v>
      </c>
      <c r="P6" s="20">
        <f t="shared" si="0"/>
        <v>45107</v>
      </c>
      <c r="Q6" s="20">
        <f t="shared" si="0"/>
        <v>45138</v>
      </c>
      <c r="R6" s="20">
        <f t="shared" si="0"/>
        <v>45169</v>
      </c>
      <c r="S6" s="20">
        <f t="shared" si="0"/>
        <v>45199</v>
      </c>
      <c r="T6" s="20">
        <f t="shared" si="0"/>
        <v>45230</v>
      </c>
    </row>
    <row r="7" spans="2:21" ht="15" thickTop="1" x14ac:dyDescent="0.3">
      <c r="I7" s="15"/>
    </row>
    <row r="8" spans="2:21" x14ac:dyDescent="0.3">
      <c r="E8" t="s">
        <v>44</v>
      </c>
      <c r="F8" t="s">
        <v>45</v>
      </c>
    </row>
    <row r="9" spans="2:21" x14ac:dyDescent="0.3">
      <c r="F9" s="17" t="s">
        <v>46</v>
      </c>
    </row>
    <row r="10" spans="2:21" x14ac:dyDescent="0.3"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</row>
    <row r="11" spans="2:21" x14ac:dyDescent="0.3">
      <c r="D11" t="s">
        <v>81</v>
      </c>
      <c r="I11" s="30">
        <f>'P&amp;L'!I18</f>
        <v>60000</v>
      </c>
      <c r="J11" s="30">
        <f>'P&amp;L'!J18</f>
        <v>195000</v>
      </c>
      <c r="K11" s="30">
        <f>'P&amp;L'!K18</f>
        <v>330000</v>
      </c>
      <c r="L11" s="30">
        <f>'P&amp;L'!L18</f>
        <v>465000</v>
      </c>
      <c r="M11" s="30">
        <f>'P&amp;L'!M18</f>
        <v>600000</v>
      </c>
      <c r="N11" s="30">
        <f>'P&amp;L'!N18</f>
        <v>735000</v>
      </c>
      <c r="O11" s="30">
        <f>'P&amp;L'!O18</f>
        <v>825000</v>
      </c>
      <c r="P11" s="30">
        <f>'P&amp;L'!P18</f>
        <v>915000</v>
      </c>
      <c r="Q11" s="30">
        <f>'P&amp;L'!Q18</f>
        <v>1005000</v>
      </c>
      <c r="R11" s="30">
        <f>'P&amp;L'!R18</f>
        <v>1095000</v>
      </c>
      <c r="S11" s="30">
        <f>'P&amp;L'!S18</f>
        <v>1185000</v>
      </c>
      <c r="T11" s="30">
        <f>'P&amp;L'!T18</f>
        <v>1275000</v>
      </c>
    </row>
    <row r="12" spans="2:21" x14ac:dyDescent="0.3">
      <c r="D12" t="s">
        <v>93</v>
      </c>
      <c r="I12" s="30">
        <f>'P&amp;L'!I17</f>
        <v>75000</v>
      </c>
      <c r="J12" s="30">
        <f>'P&amp;L'!J17</f>
        <v>75000</v>
      </c>
      <c r="K12" s="30">
        <f>'P&amp;L'!K17</f>
        <v>75000</v>
      </c>
      <c r="L12" s="30">
        <f>'P&amp;L'!L17</f>
        <v>75000</v>
      </c>
      <c r="M12" s="30">
        <f>'P&amp;L'!M17</f>
        <v>75000</v>
      </c>
      <c r="N12" s="30">
        <f>'P&amp;L'!N17</f>
        <v>75000</v>
      </c>
      <c r="O12" s="30">
        <f>'P&amp;L'!O17</f>
        <v>75000</v>
      </c>
      <c r="P12" s="30">
        <f>'P&amp;L'!P17</f>
        <v>75000</v>
      </c>
      <c r="Q12" s="30">
        <f>'P&amp;L'!Q17</f>
        <v>75000</v>
      </c>
      <c r="R12" s="30">
        <f>'P&amp;L'!R17</f>
        <v>75000</v>
      </c>
      <c r="S12" s="30">
        <f>'P&amp;L'!S17</f>
        <v>75000</v>
      </c>
      <c r="T12" s="30">
        <f>'P&amp;L'!T17</f>
        <v>75000</v>
      </c>
    </row>
    <row r="13" spans="2:21" x14ac:dyDescent="0.3">
      <c r="D13" t="s">
        <v>94</v>
      </c>
      <c r="I13" s="30">
        <f>SUM(I11:I12)</f>
        <v>135000</v>
      </c>
      <c r="J13" s="30">
        <f t="shared" ref="J13:T13" si="1">SUM(J11:J12)</f>
        <v>270000</v>
      </c>
      <c r="K13" s="30">
        <f t="shared" si="1"/>
        <v>405000</v>
      </c>
      <c r="L13" s="30">
        <f t="shared" si="1"/>
        <v>540000</v>
      </c>
      <c r="M13" s="30">
        <f t="shared" si="1"/>
        <v>675000</v>
      </c>
      <c r="N13" s="30">
        <f t="shared" si="1"/>
        <v>810000</v>
      </c>
      <c r="O13" s="30">
        <f t="shared" si="1"/>
        <v>900000</v>
      </c>
      <c r="P13" s="30">
        <f t="shared" si="1"/>
        <v>990000</v>
      </c>
      <c r="Q13" s="30">
        <f t="shared" si="1"/>
        <v>1080000</v>
      </c>
      <c r="R13" s="30">
        <f t="shared" si="1"/>
        <v>1170000</v>
      </c>
      <c r="S13" s="30">
        <f t="shared" si="1"/>
        <v>1260000</v>
      </c>
      <c r="T13" s="30">
        <f t="shared" si="1"/>
        <v>1350000</v>
      </c>
    </row>
    <row r="14" spans="2:21" x14ac:dyDescent="0.3">
      <c r="D14" t="s">
        <v>96</v>
      </c>
      <c r="I14" s="30">
        <f>'Balance Sheet'!I28</f>
        <v>21600</v>
      </c>
      <c r="J14" s="30">
        <f>'Balance Sheet'!J28-'Balance Sheet'!I28</f>
        <v>21600</v>
      </c>
      <c r="K14" s="30">
        <f>'Balance Sheet'!K28-'Balance Sheet'!J28</f>
        <v>21600</v>
      </c>
      <c r="L14" s="30">
        <f>'Balance Sheet'!L28-'Balance Sheet'!K28</f>
        <v>21600</v>
      </c>
      <c r="M14" s="30">
        <f>'Balance Sheet'!M28-'Balance Sheet'!L28</f>
        <v>21600</v>
      </c>
      <c r="N14" s="30">
        <f>'Balance Sheet'!N28-'Balance Sheet'!M28</f>
        <v>21600</v>
      </c>
      <c r="O14" s="30">
        <f>'Balance Sheet'!O28-'Balance Sheet'!N28</f>
        <v>14400</v>
      </c>
      <c r="P14" s="30">
        <f>'Balance Sheet'!P28-'Balance Sheet'!O28</f>
        <v>14400</v>
      </c>
      <c r="Q14" s="30">
        <f>'Balance Sheet'!Q28-'Balance Sheet'!P28</f>
        <v>14400</v>
      </c>
      <c r="R14" s="30">
        <f>'Balance Sheet'!R28-'Balance Sheet'!Q28</f>
        <v>14400</v>
      </c>
      <c r="S14" s="30">
        <f>'Balance Sheet'!S28-'Balance Sheet'!R28</f>
        <v>14400</v>
      </c>
      <c r="T14" s="30">
        <f>'Balance Sheet'!T28-'Balance Sheet'!S28</f>
        <v>14400</v>
      </c>
      <c r="U14" s="16"/>
    </row>
    <row r="15" spans="2:21" x14ac:dyDescent="0.3">
      <c r="D15" t="s">
        <v>132</v>
      </c>
      <c r="I15" s="30">
        <f>-'Balance Sheet'!I17</f>
        <v>-180000</v>
      </c>
      <c r="J15" s="30">
        <f>-('Balance Sheet'!J17-'Balance Sheet'!I17)</f>
        <v>-180000</v>
      </c>
      <c r="K15" s="30">
        <f>-('Balance Sheet'!K17-'Balance Sheet'!J17)</f>
        <v>-180000</v>
      </c>
      <c r="L15" s="30">
        <f>-('Balance Sheet'!L17-'Balance Sheet'!K17)</f>
        <v>-180000</v>
      </c>
      <c r="M15" s="30">
        <f>-('Balance Sheet'!M17-'Balance Sheet'!L17)</f>
        <v>-180000</v>
      </c>
      <c r="N15" s="30">
        <f>-('Balance Sheet'!N17-'Balance Sheet'!M17)</f>
        <v>-180000</v>
      </c>
      <c r="O15" s="30">
        <f>-('Balance Sheet'!O17-'Balance Sheet'!N17)</f>
        <v>-120000</v>
      </c>
      <c r="P15" s="30">
        <f>-('Balance Sheet'!P17-'Balance Sheet'!O17)</f>
        <v>-120000</v>
      </c>
      <c r="Q15" s="30">
        <f>-('Balance Sheet'!Q17-'Balance Sheet'!P17)</f>
        <v>-120000</v>
      </c>
      <c r="R15" s="30">
        <f>-('Balance Sheet'!R17-'Balance Sheet'!Q17)</f>
        <v>-120000</v>
      </c>
      <c r="S15" s="30">
        <f>-('Balance Sheet'!S17-'Balance Sheet'!R17)</f>
        <v>-120000</v>
      </c>
      <c r="T15" s="30">
        <f>-('Balance Sheet'!T17-'Balance Sheet'!S17)</f>
        <v>-120000</v>
      </c>
      <c r="U15" s="16"/>
    </row>
    <row r="16" spans="2:21" ht="15" thickBot="1" x14ac:dyDescent="0.35">
      <c r="D16" t="s">
        <v>95</v>
      </c>
      <c r="I16" s="30">
        <f>-'P&amp;L'!I19</f>
        <v>-19200</v>
      </c>
      <c r="J16" s="30">
        <f>-'P&amp;L'!J19</f>
        <v>-62400</v>
      </c>
      <c r="K16" s="30">
        <f>-'P&amp;L'!K19</f>
        <v>-105600</v>
      </c>
      <c r="L16" s="30">
        <f>-'P&amp;L'!L19</f>
        <v>-148800</v>
      </c>
      <c r="M16" s="30">
        <f>-'P&amp;L'!M19</f>
        <v>-192000</v>
      </c>
      <c r="N16" s="30">
        <f>-'P&amp;L'!N19</f>
        <v>-235200</v>
      </c>
      <c r="O16" s="30">
        <f>-'P&amp;L'!O19</f>
        <v>-264000</v>
      </c>
      <c r="P16" s="30">
        <f>-'P&amp;L'!P19</f>
        <v>-292800</v>
      </c>
      <c r="Q16" s="30">
        <f>-'P&amp;L'!Q19</f>
        <v>-321600</v>
      </c>
      <c r="R16" s="30">
        <f>-'P&amp;L'!R19</f>
        <v>-350400</v>
      </c>
      <c r="S16" s="30">
        <f>-'P&amp;L'!S19</f>
        <v>-379200</v>
      </c>
      <c r="T16" s="30">
        <f>-'P&amp;L'!T19</f>
        <v>-408000</v>
      </c>
    </row>
    <row r="17" spans="4:20" x14ac:dyDescent="0.3">
      <c r="D17" s="22" t="s">
        <v>97</v>
      </c>
      <c r="I17" s="31">
        <f>SUM(I13:I16)</f>
        <v>-42600</v>
      </c>
      <c r="J17" s="31">
        <f t="shared" ref="J17:T17" si="2">SUM(J13:J16)</f>
        <v>49200</v>
      </c>
      <c r="K17" s="31">
        <f t="shared" si="2"/>
        <v>141000</v>
      </c>
      <c r="L17" s="31">
        <f t="shared" si="2"/>
        <v>232800</v>
      </c>
      <c r="M17" s="31">
        <f t="shared" si="2"/>
        <v>324600</v>
      </c>
      <c r="N17" s="31">
        <f t="shared" si="2"/>
        <v>416400</v>
      </c>
      <c r="O17" s="31">
        <f t="shared" si="2"/>
        <v>530400</v>
      </c>
      <c r="P17" s="31">
        <f t="shared" si="2"/>
        <v>591600</v>
      </c>
      <c r="Q17" s="31">
        <f t="shared" si="2"/>
        <v>652800</v>
      </c>
      <c r="R17" s="31">
        <f t="shared" si="2"/>
        <v>714000</v>
      </c>
      <c r="S17" s="31">
        <f t="shared" si="2"/>
        <v>775200</v>
      </c>
      <c r="T17" s="31">
        <f t="shared" si="2"/>
        <v>836400</v>
      </c>
    </row>
    <row r="18" spans="4:20" x14ac:dyDescent="0.3"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</row>
    <row r="19" spans="4:20" ht="15" thickBot="1" x14ac:dyDescent="0.35">
      <c r="D19" t="s">
        <v>98</v>
      </c>
      <c r="I19" s="30">
        <f>-Calculations!I27</f>
        <v>-9000000</v>
      </c>
      <c r="J19" s="30">
        <f>-Calculations!J27</f>
        <v>0</v>
      </c>
      <c r="K19" s="30">
        <f>-Calculations!K27</f>
        <v>0</v>
      </c>
      <c r="L19" s="30">
        <f>-Calculations!L27</f>
        <v>0</v>
      </c>
      <c r="M19" s="30">
        <f>-Calculations!M27</f>
        <v>0</v>
      </c>
      <c r="N19" s="30">
        <f>-Calculations!N27</f>
        <v>0</v>
      </c>
      <c r="O19" s="30">
        <f>-Calculations!O27</f>
        <v>0</v>
      </c>
      <c r="P19" s="30">
        <f>-Calculations!P27</f>
        <v>0</v>
      </c>
      <c r="Q19" s="30">
        <f>-Calculations!Q27</f>
        <v>0</v>
      </c>
      <c r="R19" s="30">
        <f>-Calculations!R27</f>
        <v>0</v>
      </c>
      <c r="S19" s="30">
        <f>-Calculations!S27</f>
        <v>0</v>
      </c>
      <c r="T19" s="30">
        <f>-Calculations!T27</f>
        <v>0</v>
      </c>
    </row>
    <row r="20" spans="4:20" x14ac:dyDescent="0.3">
      <c r="D20" s="22" t="s">
        <v>99</v>
      </c>
      <c r="I20" s="31">
        <f>SUM(I19)</f>
        <v>-9000000</v>
      </c>
      <c r="J20" s="31">
        <f t="shared" ref="J20:T20" si="3">SUM(J19)</f>
        <v>0</v>
      </c>
      <c r="K20" s="31">
        <f t="shared" si="3"/>
        <v>0</v>
      </c>
      <c r="L20" s="31">
        <f t="shared" si="3"/>
        <v>0</v>
      </c>
      <c r="M20" s="31">
        <f t="shared" si="3"/>
        <v>0</v>
      </c>
      <c r="N20" s="31">
        <f t="shared" si="3"/>
        <v>0</v>
      </c>
      <c r="O20" s="31">
        <f t="shared" si="3"/>
        <v>0</v>
      </c>
      <c r="P20" s="31">
        <f t="shared" si="3"/>
        <v>0</v>
      </c>
      <c r="Q20" s="31">
        <f t="shared" si="3"/>
        <v>0</v>
      </c>
      <c r="R20" s="31">
        <f t="shared" si="3"/>
        <v>0</v>
      </c>
      <c r="S20" s="31">
        <f t="shared" si="3"/>
        <v>0</v>
      </c>
      <c r="T20" s="31">
        <f t="shared" si="3"/>
        <v>0</v>
      </c>
    </row>
    <row r="21" spans="4:20" x14ac:dyDescent="0.3"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</row>
    <row r="22" spans="4:20" ht="15" thickBot="1" x14ac:dyDescent="0.35">
      <c r="D22" t="s">
        <v>100</v>
      </c>
      <c r="I22" s="30">
        <f>Calculations!I22</f>
        <v>15000000</v>
      </c>
      <c r="J22" s="30">
        <f>Calculations!J22</f>
        <v>0</v>
      </c>
      <c r="K22" s="30">
        <f>Calculations!K22</f>
        <v>0</v>
      </c>
      <c r="L22" s="30">
        <f>Calculations!L22</f>
        <v>0</v>
      </c>
      <c r="M22" s="30">
        <f>Calculations!M22</f>
        <v>0</v>
      </c>
      <c r="N22" s="30">
        <f>Calculations!N22</f>
        <v>0</v>
      </c>
      <c r="O22" s="30">
        <f>Calculations!O22</f>
        <v>0</v>
      </c>
      <c r="P22" s="30">
        <f>Calculations!P22</f>
        <v>0</v>
      </c>
      <c r="Q22" s="30">
        <f>Calculations!Q22</f>
        <v>0</v>
      </c>
      <c r="R22" s="30">
        <f>Calculations!R22</f>
        <v>0</v>
      </c>
      <c r="S22" s="30">
        <f>Calculations!S22</f>
        <v>0</v>
      </c>
      <c r="T22" s="30">
        <f>Calculations!T22</f>
        <v>0</v>
      </c>
    </row>
    <row r="23" spans="4:20" x14ac:dyDescent="0.3">
      <c r="D23" s="22" t="s">
        <v>101</v>
      </c>
      <c r="I23" s="31">
        <f>SUM(I22)</f>
        <v>15000000</v>
      </c>
      <c r="J23" s="31">
        <f t="shared" ref="J23:T23" si="4">SUM(J22)</f>
        <v>0</v>
      </c>
      <c r="K23" s="31">
        <f t="shared" si="4"/>
        <v>0</v>
      </c>
      <c r="L23" s="31">
        <f t="shared" si="4"/>
        <v>0</v>
      </c>
      <c r="M23" s="31">
        <f t="shared" si="4"/>
        <v>0</v>
      </c>
      <c r="N23" s="31">
        <f t="shared" si="4"/>
        <v>0</v>
      </c>
      <c r="O23" s="31">
        <f t="shared" si="4"/>
        <v>0</v>
      </c>
      <c r="P23" s="31">
        <f t="shared" si="4"/>
        <v>0</v>
      </c>
      <c r="Q23" s="31">
        <f t="shared" si="4"/>
        <v>0</v>
      </c>
      <c r="R23" s="31">
        <f t="shared" si="4"/>
        <v>0</v>
      </c>
      <c r="S23" s="31">
        <f t="shared" si="4"/>
        <v>0</v>
      </c>
      <c r="T23" s="31">
        <f t="shared" si="4"/>
        <v>0</v>
      </c>
    </row>
    <row r="24" spans="4:20" x14ac:dyDescent="0.3"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</row>
    <row r="25" spans="4:20" x14ac:dyDescent="0.3">
      <c r="D25" s="22" t="s">
        <v>102</v>
      </c>
      <c r="I25" s="30">
        <f>I17+I20+I23</f>
        <v>5957400</v>
      </c>
      <c r="J25" s="30">
        <f t="shared" ref="J25:T25" si="5">J17+J20+J23</f>
        <v>49200</v>
      </c>
      <c r="K25" s="30">
        <f t="shared" si="5"/>
        <v>141000</v>
      </c>
      <c r="L25" s="30">
        <f t="shared" si="5"/>
        <v>232800</v>
      </c>
      <c r="M25" s="30">
        <f t="shared" si="5"/>
        <v>324600</v>
      </c>
      <c r="N25" s="30">
        <f t="shared" si="5"/>
        <v>416400</v>
      </c>
      <c r="O25" s="30">
        <f t="shared" si="5"/>
        <v>530400</v>
      </c>
      <c r="P25" s="30">
        <f t="shared" si="5"/>
        <v>591600</v>
      </c>
      <c r="Q25" s="30">
        <f t="shared" si="5"/>
        <v>652800</v>
      </c>
      <c r="R25" s="30">
        <f t="shared" si="5"/>
        <v>714000</v>
      </c>
      <c r="S25" s="30">
        <f t="shared" si="5"/>
        <v>775200</v>
      </c>
      <c r="T25" s="30">
        <f t="shared" si="5"/>
        <v>836400</v>
      </c>
    </row>
    <row r="26" spans="4:20" x14ac:dyDescent="0.3"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</row>
    <row r="27" spans="4:20" x14ac:dyDescent="0.3">
      <c r="D27" t="s">
        <v>66</v>
      </c>
      <c r="I27" s="30">
        <f>H29</f>
        <v>0</v>
      </c>
      <c r="J27" s="30">
        <f t="shared" ref="J27:T27" si="6">I29</f>
        <v>5957400</v>
      </c>
      <c r="K27" s="30">
        <f t="shared" si="6"/>
        <v>6006600</v>
      </c>
      <c r="L27" s="30">
        <f t="shared" si="6"/>
        <v>6147600</v>
      </c>
      <c r="M27" s="30">
        <f t="shared" si="6"/>
        <v>6380400</v>
      </c>
      <c r="N27" s="30">
        <f t="shared" si="6"/>
        <v>6705000</v>
      </c>
      <c r="O27" s="30">
        <f t="shared" si="6"/>
        <v>7121400</v>
      </c>
      <c r="P27" s="30">
        <f t="shared" si="6"/>
        <v>7651800</v>
      </c>
      <c r="Q27" s="30">
        <f t="shared" si="6"/>
        <v>8243400</v>
      </c>
      <c r="R27" s="30">
        <f t="shared" si="6"/>
        <v>8896200</v>
      </c>
      <c r="S27" s="30">
        <f t="shared" si="6"/>
        <v>9610200</v>
      </c>
      <c r="T27" s="30">
        <f t="shared" si="6"/>
        <v>10385400</v>
      </c>
    </row>
    <row r="28" spans="4:20" x14ac:dyDescent="0.3">
      <c r="D28" t="s">
        <v>103</v>
      </c>
      <c r="I28" s="30">
        <f>I25</f>
        <v>5957400</v>
      </c>
      <c r="J28" s="30">
        <f t="shared" ref="J28:T28" si="7">J25</f>
        <v>49200</v>
      </c>
      <c r="K28" s="30">
        <f t="shared" si="7"/>
        <v>141000</v>
      </c>
      <c r="L28" s="30">
        <f t="shared" si="7"/>
        <v>232800</v>
      </c>
      <c r="M28" s="30">
        <f t="shared" si="7"/>
        <v>324600</v>
      </c>
      <c r="N28" s="30">
        <f t="shared" si="7"/>
        <v>416400</v>
      </c>
      <c r="O28" s="30">
        <f t="shared" si="7"/>
        <v>530400</v>
      </c>
      <c r="P28" s="30">
        <f t="shared" si="7"/>
        <v>591600</v>
      </c>
      <c r="Q28" s="30">
        <f t="shared" si="7"/>
        <v>652800</v>
      </c>
      <c r="R28" s="30">
        <f t="shared" si="7"/>
        <v>714000</v>
      </c>
      <c r="S28" s="30">
        <f t="shared" si="7"/>
        <v>775200</v>
      </c>
      <c r="T28" s="30">
        <f t="shared" si="7"/>
        <v>836400</v>
      </c>
    </row>
    <row r="29" spans="4:20" ht="15" thickBot="1" x14ac:dyDescent="0.35">
      <c r="D29" s="22" t="s">
        <v>104</v>
      </c>
      <c r="H29" s="16">
        <f>Assumptions!F51</f>
        <v>0</v>
      </c>
      <c r="I29" s="32">
        <f>SUM(I27:I28)</f>
        <v>5957400</v>
      </c>
      <c r="J29" s="32">
        <f t="shared" ref="J29:T29" si="8">SUM(J27:J28)</f>
        <v>6006600</v>
      </c>
      <c r="K29" s="32">
        <f t="shared" si="8"/>
        <v>6147600</v>
      </c>
      <c r="L29" s="32">
        <f t="shared" si="8"/>
        <v>6380400</v>
      </c>
      <c r="M29" s="32">
        <f t="shared" si="8"/>
        <v>6705000</v>
      </c>
      <c r="N29" s="32">
        <f t="shared" si="8"/>
        <v>7121400</v>
      </c>
      <c r="O29" s="32">
        <f t="shared" si="8"/>
        <v>7651800</v>
      </c>
      <c r="P29" s="32">
        <f t="shared" si="8"/>
        <v>8243400</v>
      </c>
      <c r="Q29" s="32">
        <f t="shared" si="8"/>
        <v>8896200</v>
      </c>
      <c r="R29" s="32">
        <f t="shared" si="8"/>
        <v>9610200</v>
      </c>
      <c r="S29" s="32">
        <f t="shared" si="8"/>
        <v>10385400</v>
      </c>
      <c r="T29" s="32">
        <f t="shared" si="8"/>
        <v>11221800</v>
      </c>
    </row>
    <row r="30" spans="4:20" ht="15" thickTop="1" x14ac:dyDescent="0.3"/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Cover</vt:lpstr>
      <vt:lpstr>Guide Sheet</vt:lpstr>
      <vt:lpstr>Assumptions</vt:lpstr>
      <vt:lpstr>Calculations</vt:lpstr>
      <vt:lpstr>P&amp;L</vt:lpstr>
      <vt:lpstr>Balance Sheet</vt:lpstr>
      <vt:lpstr>Cashflow Statement</vt:lpstr>
      <vt:lpstr>Asset_Useful_Life_</vt:lpstr>
      <vt:lpstr>Company</vt:lpstr>
      <vt:lpstr>Days_In_a_Month</vt:lpstr>
      <vt:lpstr>Days_In_a_Year</vt:lpstr>
      <vt:lpstr>EndDate</vt:lpstr>
      <vt:lpstr>Months_In_a_Year</vt:lpstr>
      <vt:lpstr>StartDate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Adedeji, Ayomide</dc:creator>
  <cp:lastModifiedBy>TOSIN Bello</cp:lastModifiedBy>
  <dcterms:created xsi:type="dcterms:W3CDTF">2022-12-29T19:24:14Z</dcterms:created>
  <dcterms:modified xsi:type="dcterms:W3CDTF">2025-06-29T18:59:44Z</dcterms:modified>
</cp:coreProperties>
</file>