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Desktop\"/>
    </mc:Choice>
  </mc:AlternateContent>
  <xr:revisionPtr revIDLastSave="0" documentId="13_ncr:1_{23716888-329D-4BA7-ABBD-96D1FDB5D9A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个人报销" sheetId="8" r:id="rId1"/>
    <sheet name="分成比例" sheetId="3" r:id="rId2"/>
    <sheet name="3月" sheetId="4" r:id="rId3"/>
    <sheet name="4月" sheetId="1" r:id="rId4"/>
    <sheet name="发票" sheetId="11" r:id="rId5"/>
    <sheet name="Sheet2" sheetId="10" r:id="rId6"/>
    <sheet name="Sheet4" sheetId="13" r:id="rId7"/>
    <sheet name="2021财报" sheetId="5" r:id="rId8"/>
    <sheet name="2022财报" sheetId="6" r:id="rId9"/>
    <sheet name="Sheet3" sheetId="12" r:id="rId10"/>
    <sheet name="2022支出" sheetId="7" r:id="rId11"/>
  </sheets>
  <externalReferences>
    <externalReference r:id="rId12"/>
  </externalReferences>
  <definedNames>
    <definedName name="_xlnm._FilterDatabase" localSheetId="2" hidden="1">'3月'!$A$2:$L$63</definedName>
    <definedName name="_xlnm._FilterDatabase" localSheetId="3" hidden="1">'4月'!$A$2:$S$302</definedName>
    <definedName name="_xlnm._FilterDatabase" localSheetId="5" hidden="1">Sheet2!$A$2:$P$5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05" i="1" l="1"/>
  <c r="M305" i="1"/>
  <c r="J305" i="1"/>
  <c r="L304" i="1"/>
  <c r="M304" i="1"/>
  <c r="J304" i="1"/>
  <c r="L303" i="1"/>
  <c r="M303" i="1"/>
  <c r="J303" i="1"/>
  <c r="L4" i="10" l="1"/>
  <c r="K4" i="10"/>
  <c r="I4" i="10"/>
  <c r="K3" i="10"/>
  <c r="I3" i="10"/>
  <c r="L3" i="10" s="1"/>
  <c r="L302" i="1"/>
  <c r="J302" i="1"/>
  <c r="M302" i="1" s="1"/>
  <c r="L301" i="1"/>
  <c r="J301" i="1"/>
  <c r="M301" i="1" s="1"/>
  <c r="H292" i="1"/>
  <c r="J292" i="1" s="1"/>
  <c r="M292" i="1" s="1"/>
  <c r="L287" i="1"/>
  <c r="J287" i="1"/>
  <c r="M287" i="1" s="1"/>
  <c r="J5" i="10"/>
  <c r="I5" i="10"/>
  <c r="L300" i="1"/>
  <c r="J300" i="1"/>
  <c r="M300" i="1" s="1"/>
  <c r="L292" i="1"/>
  <c r="L293" i="1"/>
  <c r="L294" i="1"/>
  <c r="L295" i="1"/>
  <c r="L296" i="1"/>
  <c r="L297" i="1"/>
  <c r="L298" i="1"/>
  <c r="L299" i="1"/>
  <c r="J293" i="1"/>
  <c r="M293" i="1" s="1"/>
  <c r="J294" i="1"/>
  <c r="M294" i="1" s="1"/>
  <c r="J295" i="1"/>
  <c r="M295" i="1" s="1"/>
  <c r="J296" i="1"/>
  <c r="M296" i="1" s="1"/>
  <c r="J297" i="1"/>
  <c r="M297" i="1" s="1"/>
  <c r="J298" i="1"/>
  <c r="M298" i="1" s="1"/>
  <c r="J299" i="1"/>
  <c r="M299" i="1" s="1"/>
  <c r="J33" i="1"/>
  <c r="D14" i="6"/>
  <c r="AA14" i="6" s="1"/>
  <c r="S14" i="6"/>
  <c r="R14" i="6"/>
  <c r="B14" i="6"/>
  <c r="E14" i="6" s="1"/>
  <c r="F14" i="6"/>
  <c r="I14" i="6" s="1"/>
  <c r="D61" i="7"/>
  <c r="N13" i="6"/>
  <c r="J14" i="6"/>
  <c r="Y14" i="6"/>
  <c r="Y13" i="6"/>
  <c r="Y12" i="6"/>
  <c r="V14" i="6" l="1"/>
  <c r="W14" i="6" s="1"/>
  <c r="X14" i="6"/>
  <c r="H5" i="10"/>
  <c r="L291" i="1"/>
  <c r="J291" i="1"/>
  <c r="M291" i="1" s="1"/>
  <c r="L290" i="1"/>
  <c r="J290" i="1"/>
  <c r="M290" i="1" s="1"/>
  <c r="H289" i="1"/>
  <c r="J289" i="1" s="1"/>
  <c r="M289" i="1" s="1"/>
  <c r="L289" i="1"/>
  <c r="L288" i="1"/>
  <c r="J288" i="1"/>
  <c r="M288" i="1" s="1"/>
  <c r="B2" i="11"/>
  <c r="B10" i="11" s="1"/>
  <c r="D9" i="11"/>
  <c r="C9" i="11" s="1"/>
  <c r="L286" i="1"/>
  <c r="J286" i="1"/>
  <c r="M286" i="1" s="1"/>
  <c r="L285" i="1"/>
  <c r="J285" i="1"/>
  <c r="M285" i="1" s="1"/>
  <c r="L284" i="1"/>
  <c r="J284" i="1"/>
  <c r="M284" i="1" s="1"/>
  <c r="L283" i="1"/>
  <c r="J283" i="1"/>
  <c r="M283" i="1" s="1"/>
  <c r="J282" i="1"/>
  <c r="M282" i="1" s="1"/>
  <c r="L282" i="1"/>
  <c r="J281" i="1"/>
  <c r="M281" i="1" s="1"/>
  <c r="L281" i="1"/>
  <c r="J280" i="1"/>
  <c r="M280" i="1" s="1"/>
  <c r="L280" i="1"/>
  <c r="J279" i="1"/>
  <c r="M279" i="1" s="1"/>
  <c r="L279" i="1"/>
  <c r="J278" i="1"/>
  <c r="M278" i="1" s="1"/>
  <c r="L278" i="1"/>
  <c r="J277" i="1"/>
  <c r="M277" i="1" s="1"/>
  <c r="L277" i="1"/>
  <c r="J276" i="1"/>
  <c r="M276" i="1" s="1"/>
  <c r="L276" i="1"/>
  <c r="J275" i="1"/>
  <c r="M275" i="1" s="1"/>
  <c r="L275" i="1"/>
  <c r="J274" i="1"/>
  <c r="M274" i="1" s="1"/>
  <c r="L274" i="1"/>
  <c r="L273" i="1"/>
  <c r="J273" i="1"/>
  <c r="M273" i="1" s="1"/>
  <c r="J272" i="1"/>
  <c r="M272" i="1" s="1"/>
  <c r="J271" i="1"/>
  <c r="M271" i="1" s="1"/>
  <c r="J270" i="1"/>
  <c r="M270" i="1" s="1"/>
  <c r="J269" i="1"/>
  <c r="M269" i="1" s="1"/>
  <c r="J268" i="1"/>
  <c r="M268" i="1" s="1"/>
  <c r="L267" i="1"/>
  <c r="L268" i="1"/>
  <c r="L269" i="1"/>
  <c r="L270" i="1"/>
  <c r="L271" i="1"/>
  <c r="L272" i="1"/>
  <c r="J267" i="1"/>
  <c r="M267" i="1" s="1"/>
  <c r="J262" i="1"/>
  <c r="M262" i="1" s="1"/>
  <c r="J263" i="1"/>
  <c r="M263" i="1" s="1"/>
  <c r="J264" i="1"/>
  <c r="M264" i="1" s="1"/>
  <c r="J265" i="1"/>
  <c r="M265" i="1" s="1"/>
  <c r="J266" i="1"/>
  <c r="M266" i="1" s="1"/>
  <c r="L261" i="1"/>
  <c r="L262" i="1"/>
  <c r="L263" i="1"/>
  <c r="L264" i="1"/>
  <c r="L265" i="1"/>
  <c r="L266" i="1"/>
  <c r="J261" i="1"/>
  <c r="M261" i="1" s="1"/>
  <c r="J259" i="1"/>
  <c r="M259" i="1" s="1"/>
  <c r="J260" i="1"/>
  <c r="M260" i="1" s="1"/>
  <c r="L258" i="1"/>
  <c r="L259" i="1"/>
  <c r="L260" i="1"/>
  <c r="J258" i="1"/>
  <c r="M258" i="1" s="1"/>
  <c r="J257" i="1"/>
  <c r="M257" i="1" s="1"/>
  <c r="J256" i="1"/>
  <c r="M256" i="1" s="1"/>
  <c r="J255" i="1"/>
  <c r="M255" i="1" s="1"/>
  <c r="L254" i="1"/>
  <c r="L255" i="1"/>
  <c r="L256" i="1"/>
  <c r="L257" i="1"/>
  <c r="J254" i="1"/>
  <c r="M254" i="1" s="1"/>
  <c r="J238" i="1"/>
  <c r="M238" i="1" s="1"/>
  <c r="J239" i="1"/>
  <c r="M239" i="1" s="1"/>
  <c r="J240" i="1"/>
  <c r="M240" i="1" s="1"/>
  <c r="J241" i="1"/>
  <c r="M241" i="1" s="1"/>
  <c r="J242" i="1"/>
  <c r="M242" i="1" s="1"/>
  <c r="J243" i="1"/>
  <c r="M243" i="1" s="1"/>
  <c r="J244" i="1"/>
  <c r="M244" i="1" s="1"/>
  <c r="J245" i="1"/>
  <c r="M245" i="1" s="1"/>
  <c r="J246" i="1"/>
  <c r="M246" i="1" s="1"/>
  <c r="J247" i="1"/>
  <c r="M247" i="1" s="1"/>
  <c r="J248" i="1"/>
  <c r="M248" i="1" s="1"/>
  <c r="J249" i="1"/>
  <c r="M249" i="1" s="1"/>
  <c r="J250" i="1"/>
  <c r="M250" i="1" s="1"/>
  <c r="J251" i="1"/>
  <c r="M251" i="1" s="1"/>
  <c r="J252" i="1"/>
  <c r="M252" i="1" s="1"/>
  <c r="J253" i="1"/>
  <c r="M253" i="1" s="1"/>
  <c r="L247" i="1"/>
  <c r="L248" i="1"/>
  <c r="L249" i="1"/>
  <c r="L250" i="1"/>
  <c r="L251" i="1"/>
  <c r="L252" i="1"/>
  <c r="L253" i="1"/>
  <c r="L246" i="1"/>
  <c r="L245" i="1"/>
  <c r="L244" i="1"/>
  <c r="L243" i="1"/>
  <c r="L242" i="1"/>
  <c r="L241" i="1"/>
  <c r="L240" i="1"/>
  <c r="L239" i="1"/>
  <c r="L238" i="1"/>
  <c r="D8" i="11"/>
  <c r="C8" i="11" s="1"/>
  <c r="D7" i="11"/>
  <c r="C7" i="11" s="1"/>
  <c r="L237" i="1"/>
  <c r="J237" i="1"/>
  <c r="M237" i="1" s="1"/>
  <c r="L233" i="1"/>
  <c r="L234" i="1"/>
  <c r="M234" i="1"/>
  <c r="J233" i="1"/>
  <c r="M233" i="1" s="1"/>
  <c r="L236" i="1"/>
  <c r="J236" i="1"/>
  <c r="M236" i="1" s="1"/>
  <c r="J231" i="1"/>
  <c r="M231" i="1" s="1"/>
  <c r="X7" i="6"/>
  <c r="X9" i="6"/>
  <c r="X10" i="6"/>
  <c r="X11" i="6"/>
  <c r="X12" i="6"/>
  <c r="X13" i="6"/>
  <c r="T6" i="5"/>
  <c r="L231" i="1"/>
  <c r="L232" i="1"/>
  <c r="L235" i="1"/>
  <c r="J232" i="1"/>
  <c r="M232" i="1" s="1"/>
  <c r="J235" i="1"/>
  <c r="M235" i="1" s="1"/>
  <c r="F11" i="6"/>
  <c r="F13" i="6"/>
  <c r="I13" i="6" s="1"/>
  <c r="F12" i="6"/>
  <c r="K5" i="10" l="1"/>
  <c r="G5" i="10"/>
  <c r="L5" i="10"/>
  <c r="O13" i="6"/>
  <c r="R13" i="6"/>
  <c r="S13" i="6"/>
  <c r="K13" i="6"/>
  <c r="D25" i="6"/>
  <c r="G25" i="6"/>
  <c r="B13" i="6" l="1"/>
  <c r="D13" i="6"/>
  <c r="J13" i="6"/>
  <c r="V13" i="6" s="1"/>
  <c r="J230" i="1"/>
  <c r="M230" i="1" s="1"/>
  <c r="J229" i="1"/>
  <c r="M229" i="1" s="1"/>
  <c r="J228" i="1"/>
  <c r="M228" i="1" s="1"/>
  <c r="L228" i="1"/>
  <c r="L229" i="1"/>
  <c r="L230" i="1"/>
  <c r="J227" i="1"/>
  <c r="M227" i="1" s="1"/>
  <c r="L225" i="1"/>
  <c r="L226" i="1"/>
  <c r="L227" i="1"/>
  <c r="L223" i="1"/>
  <c r="J223" i="1"/>
  <c r="M223" i="1" s="1"/>
  <c r="L222" i="1"/>
  <c r="J222" i="1"/>
  <c r="M222" i="1" s="1"/>
  <c r="L211" i="1"/>
  <c r="J211" i="1"/>
  <c r="M211" i="1" s="1"/>
  <c r="L210" i="1"/>
  <c r="J210" i="1"/>
  <c r="M210" i="1" s="1"/>
  <c r="L209" i="1"/>
  <c r="J209" i="1"/>
  <c r="M209" i="1" s="1"/>
  <c r="L208" i="1"/>
  <c r="J208" i="1"/>
  <c r="M208" i="1" s="1"/>
  <c r="L207" i="1"/>
  <c r="J207" i="1"/>
  <c r="M207" i="1" s="1"/>
  <c r="L206" i="1"/>
  <c r="J206" i="1"/>
  <c r="M206" i="1" s="1"/>
  <c r="L205" i="1"/>
  <c r="J205" i="1"/>
  <c r="M205" i="1" s="1"/>
  <c r="L204" i="1"/>
  <c r="J204" i="1"/>
  <c r="M204" i="1" s="1"/>
  <c r="L203" i="1"/>
  <c r="J203" i="1"/>
  <c r="M203" i="1" s="1"/>
  <c r="L202" i="1"/>
  <c r="J202" i="1"/>
  <c r="M202" i="1" s="1"/>
  <c r="L201" i="1"/>
  <c r="J201" i="1"/>
  <c r="M201" i="1" s="1"/>
  <c r="L200" i="1"/>
  <c r="J200" i="1"/>
  <c r="M200" i="1" s="1"/>
  <c r="L199" i="1"/>
  <c r="J199" i="1"/>
  <c r="M199" i="1" s="1"/>
  <c r="L198" i="1"/>
  <c r="J198" i="1"/>
  <c r="M198" i="1" s="1"/>
  <c r="J226" i="1"/>
  <c r="M226" i="1" s="1"/>
  <c r="J225" i="1"/>
  <c r="M225" i="1" s="1"/>
  <c r="L224" i="1"/>
  <c r="J224" i="1"/>
  <c r="M224" i="1" s="1"/>
  <c r="L214" i="1"/>
  <c r="J214" i="1"/>
  <c r="M214" i="1" s="1"/>
  <c r="L213" i="1"/>
  <c r="J213" i="1"/>
  <c r="M213" i="1" s="1"/>
  <c r="L212" i="1"/>
  <c r="J212" i="1"/>
  <c r="M212" i="1" s="1"/>
  <c r="L195" i="1"/>
  <c r="J195" i="1"/>
  <c r="M195" i="1" s="1"/>
  <c r="L194" i="1"/>
  <c r="J194" i="1"/>
  <c r="M194" i="1" s="1"/>
  <c r="L197" i="1"/>
  <c r="J197" i="1"/>
  <c r="M197" i="1" s="1"/>
  <c r="L196" i="1"/>
  <c r="J196" i="1"/>
  <c r="M196" i="1" s="1"/>
  <c r="J192" i="1"/>
  <c r="M192" i="1" s="1"/>
  <c r="J193" i="1"/>
  <c r="M193" i="1" s="1"/>
  <c r="J215" i="1"/>
  <c r="M215" i="1" s="1"/>
  <c r="J216" i="1"/>
  <c r="M216" i="1" s="1"/>
  <c r="J217" i="1"/>
  <c r="M217" i="1" s="1"/>
  <c r="J218" i="1"/>
  <c r="M218" i="1" s="1"/>
  <c r="J219" i="1"/>
  <c r="M219" i="1" s="1"/>
  <c r="J220" i="1"/>
  <c r="M220" i="1" s="1"/>
  <c r="J221" i="1"/>
  <c r="M221" i="1" s="1"/>
  <c r="L221" i="1"/>
  <c r="L220" i="1"/>
  <c r="L219" i="1"/>
  <c r="L217" i="1"/>
  <c r="L216" i="1"/>
  <c r="L218" i="1"/>
  <c r="L192" i="1"/>
  <c r="L193" i="1"/>
  <c r="L215" i="1"/>
  <c r="L191" i="1"/>
  <c r="J191" i="1"/>
  <c r="M191" i="1" s="1"/>
  <c r="L187" i="1"/>
  <c r="J187" i="1"/>
  <c r="M187" i="1" s="1"/>
  <c r="J190" i="1"/>
  <c r="M190" i="1" s="1"/>
  <c r="L190" i="1"/>
  <c r="L189" i="1"/>
  <c r="J189" i="1"/>
  <c r="M189" i="1" s="1"/>
  <c r="J188" i="1"/>
  <c r="M188" i="1" s="1"/>
  <c r="J186" i="1"/>
  <c r="M186" i="1" s="1"/>
  <c r="B12" i="6"/>
  <c r="K25" i="6"/>
  <c r="K26" i="6" s="1"/>
  <c r="K27" i="6" s="1"/>
  <c r="N25" i="6"/>
  <c r="D26" i="6"/>
  <c r="G26" i="6"/>
  <c r="G27" i="6" s="1"/>
  <c r="G28" i="6" s="1"/>
  <c r="G29" i="6" s="1"/>
  <c r="G30" i="6" s="1"/>
  <c r="G31" i="6" s="1"/>
  <c r="G32" i="6" s="1"/>
  <c r="G33" i="6" s="1"/>
  <c r="D12" i="6"/>
  <c r="AA12" i="6" s="1"/>
  <c r="D11" i="6"/>
  <c r="AA11" i="6" s="1"/>
  <c r="AA7" i="6"/>
  <c r="J185" i="1"/>
  <c r="M185" i="1" s="1"/>
  <c r="L184" i="1"/>
  <c r="L185" i="1"/>
  <c r="L186" i="1"/>
  <c r="L188" i="1"/>
  <c r="J184" i="1"/>
  <c r="M184" i="1" s="1"/>
  <c r="L183" i="1"/>
  <c r="J183" i="1"/>
  <c r="M183" i="1" s="1"/>
  <c r="L182" i="1"/>
  <c r="J182" i="1"/>
  <c r="M182" i="1" s="1"/>
  <c r="J179" i="1"/>
  <c r="M179" i="1" s="1"/>
  <c r="J180" i="1"/>
  <c r="M180" i="1" s="1"/>
  <c r="J181" i="1"/>
  <c r="M181" i="1" s="1"/>
  <c r="L179" i="1"/>
  <c r="L180" i="1"/>
  <c r="L181" i="1"/>
  <c r="J178" i="1"/>
  <c r="M178" i="1" s="1"/>
  <c r="J177" i="1"/>
  <c r="M177" i="1" s="1"/>
  <c r="J176" i="1"/>
  <c r="M176" i="1" s="1"/>
  <c r="J175" i="1"/>
  <c r="M175" i="1" s="1"/>
  <c r="L174" i="1"/>
  <c r="L175" i="1"/>
  <c r="L176" i="1"/>
  <c r="L177" i="1"/>
  <c r="L178" i="1"/>
  <c r="J174" i="1"/>
  <c r="M174" i="1" s="1"/>
  <c r="L173" i="1"/>
  <c r="J173" i="1"/>
  <c r="M173" i="1" s="1"/>
  <c r="L172" i="1"/>
  <c r="J172" i="1"/>
  <c r="M172" i="1" s="1"/>
  <c r="L171" i="1"/>
  <c r="J171" i="1"/>
  <c r="M171" i="1" s="1"/>
  <c r="M6" i="5"/>
  <c r="O6" i="5"/>
  <c r="O5" i="5"/>
  <c r="E5" i="5"/>
  <c r="F5" i="5"/>
  <c r="G5" i="5"/>
  <c r="H5" i="5"/>
  <c r="P5" i="5"/>
  <c r="B8" i="5"/>
  <c r="C8" i="5"/>
  <c r="E8" i="5"/>
  <c r="F8" i="5"/>
  <c r="G8" i="5"/>
  <c r="H8" i="5"/>
  <c r="L8" i="5"/>
  <c r="M8" i="5"/>
  <c r="O8" i="5"/>
  <c r="P8" i="5"/>
  <c r="Q12" i="6"/>
  <c r="R12" i="6"/>
  <c r="K12" i="6"/>
  <c r="J12" i="6"/>
  <c r="L170" i="1"/>
  <c r="J170" i="1"/>
  <c r="M170" i="1" s="1"/>
  <c r="J169" i="1"/>
  <c r="M169" i="1" s="1"/>
  <c r="L169" i="1"/>
  <c r="J168" i="1"/>
  <c r="M168" i="1" s="1"/>
  <c r="L168" i="1"/>
  <c r="J167" i="1"/>
  <c r="M167" i="1" s="1"/>
  <c r="J166" i="1"/>
  <c r="M166" i="1" s="1"/>
  <c r="L165" i="1"/>
  <c r="L166" i="1"/>
  <c r="L167" i="1"/>
  <c r="L161" i="1"/>
  <c r="L162" i="1"/>
  <c r="L163" i="1"/>
  <c r="L164" i="1"/>
  <c r="L160" i="1"/>
  <c r="H160" i="1"/>
  <c r="J160" i="1" s="1"/>
  <c r="M160" i="1" s="1"/>
  <c r="L158" i="1"/>
  <c r="L157" i="1"/>
  <c r="L154" i="1"/>
  <c r="L159" i="1"/>
  <c r="L155" i="1"/>
  <c r="L156" i="1"/>
  <c r="L146" i="1"/>
  <c r="L147" i="1"/>
  <c r="L148" i="1"/>
  <c r="L149" i="1"/>
  <c r="L150" i="1"/>
  <c r="L151" i="1"/>
  <c r="L152" i="1"/>
  <c r="L153" i="1"/>
  <c r="L145" i="1"/>
  <c r="AA10" i="6"/>
  <c r="B11" i="6"/>
  <c r="S11" i="6"/>
  <c r="R11" i="6"/>
  <c r="Q11" i="6"/>
  <c r="T11" i="6"/>
  <c r="K11" i="6"/>
  <c r="J11" i="6"/>
  <c r="I10" i="6"/>
  <c r="I11" i="6"/>
  <c r="E9" i="6"/>
  <c r="E7" i="6"/>
  <c r="C11" i="6"/>
  <c r="C18" i="6"/>
  <c r="C19" i="6" s="1"/>
  <c r="L144" i="1"/>
  <c r="M136" i="1"/>
  <c r="L142" i="1"/>
  <c r="L143" i="1"/>
  <c r="L141" i="1"/>
  <c r="D2" i="11"/>
  <c r="C2" i="11" s="1"/>
  <c r="D3" i="11"/>
  <c r="C3" i="11" s="1"/>
  <c r="D4" i="11"/>
  <c r="C4" i="11" s="1"/>
  <c r="D5" i="11"/>
  <c r="C5" i="11" s="1"/>
  <c r="E6" i="11"/>
  <c r="D6" i="11"/>
  <c r="C6" i="11" s="1"/>
  <c r="L76" i="1"/>
  <c r="J76" i="1"/>
  <c r="M76" i="1" s="1"/>
  <c r="L140" i="1"/>
  <c r="L139" i="1"/>
  <c r="L85" i="1"/>
  <c r="L86" i="1"/>
  <c r="L65" i="1"/>
  <c r="J65" i="1"/>
  <c r="M65" i="1" s="1"/>
  <c r="L133" i="1"/>
  <c r="J133" i="1"/>
  <c r="M133" i="1" s="1"/>
  <c r="L132" i="1"/>
  <c r="J132" i="1"/>
  <c r="M132" i="1" s="1"/>
  <c r="L131" i="1"/>
  <c r="J131" i="1"/>
  <c r="M131" i="1" s="1"/>
  <c r="L135" i="1"/>
  <c r="J135" i="1"/>
  <c r="M135" i="1" s="1"/>
  <c r="L134" i="1"/>
  <c r="J134" i="1"/>
  <c r="M134" i="1" s="1"/>
  <c r="L123" i="1"/>
  <c r="J123" i="1"/>
  <c r="M123" i="1" s="1"/>
  <c r="L126" i="1"/>
  <c r="J126" i="1"/>
  <c r="M126" i="1" s="1"/>
  <c r="L125" i="1"/>
  <c r="J125" i="1"/>
  <c r="M125" i="1" s="1"/>
  <c r="L124" i="1"/>
  <c r="J124" i="1"/>
  <c r="M124" i="1" s="1"/>
  <c r="L129" i="1"/>
  <c r="J129" i="1"/>
  <c r="M129" i="1" s="1"/>
  <c r="L128" i="1"/>
  <c r="J128" i="1"/>
  <c r="M128" i="1" s="1"/>
  <c r="L127" i="1"/>
  <c r="J127" i="1"/>
  <c r="M127" i="1" s="1"/>
  <c r="L122" i="1"/>
  <c r="J122" i="1"/>
  <c r="M122" i="1" s="1"/>
  <c r="L121" i="1"/>
  <c r="J121" i="1"/>
  <c r="M121" i="1" s="1"/>
  <c r="L120" i="1"/>
  <c r="J120" i="1"/>
  <c r="M120" i="1" s="1"/>
  <c r="L119" i="1"/>
  <c r="J119" i="1"/>
  <c r="M119" i="1" s="1"/>
  <c r="L130" i="1"/>
  <c r="J130" i="1"/>
  <c r="M130" i="1" s="1"/>
  <c r="L138" i="1"/>
  <c r="L137" i="1"/>
  <c r="L108" i="1"/>
  <c r="J108" i="1"/>
  <c r="M108" i="1" s="1"/>
  <c r="L107" i="1"/>
  <c r="J107" i="1"/>
  <c r="M107" i="1" s="1"/>
  <c r="L106" i="1"/>
  <c r="J106" i="1"/>
  <c r="M106" i="1" s="1"/>
  <c r="L105" i="1"/>
  <c r="J105" i="1"/>
  <c r="M105" i="1" s="1"/>
  <c r="L104" i="1"/>
  <c r="J104" i="1"/>
  <c r="M104" i="1" s="1"/>
  <c r="L113" i="1"/>
  <c r="J113" i="1"/>
  <c r="M113" i="1" s="1"/>
  <c r="L112" i="1"/>
  <c r="J112" i="1"/>
  <c r="M112" i="1" s="1"/>
  <c r="L111" i="1"/>
  <c r="J111" i="1"/>
  <c r="M111" i="1" s="1"/>
  <c r="L110" i="1"/>
  <c r="J110" i="1"/>
  <c r="M110" i="1" s="1"/>
  <c r="L109" i="1"/>
  <c r="J109" i="1"/>
  <c r="M109" i="1" s="1"/>
  <c r="L116" i="1"/>
  <c r="J116" i="1"/>
  <c r="M116" i="1" s="1"/>
  <c r="L115" i="1"/>
  <c r="J115" i="1"/>
  <c r="M115" i="1" s="1"/>
  <c r="L114" i="1"/>
  <c r="J114" i="1"/>
  <c r="M114" i="1" s="1"/>
  <c r="L117" i="1"/>
  <c r="J117" i="1"/>
  <c r="M117" i="1" s="1"/>
  <c r="J118" i="1"/>
  <c r="M118" i="1" s="1"/>
  <c r="L118" i="1"/>
  <c r="H136" i="1"/>
  <c r="I136" i="1"/>
  <c r="L136" i="1" s="1"/>
  <c r="L103" i="1"/>
  <c r="L102" i="1"/>
  <c r="L96" i="1"/>
  <c r="L97" i="1"/>
  <c r="J96" i="1"/>
  <c r="M96" i="1" s="1"/>
  <c r="J97" i="1"/>
  <c r="M97" i="1" s="1"/>
  <c r="J99" i="1"/>
  <c r="M99" i="1" s="1"/>
  <c r="J95" i="1"/>
  <c r="M95" i="1" s="1"/>
  <c r="L94" i="1"/>
  <c r="L95" i="1"/>
  <c r="L99" i="1"/>
  <c r="J94" i="1"/>
  <c r="M94" i="1" s="1"/>
  <c r="J93" i="1"/>
  <c r="M93" i="1" s="1"/>
  <c r="L93" i="1"/>
  <c r="L92" i="1"/>
  <c r="J92" i="1"/>
  <c r="M92" i="1" s="1"/>
  <c r="L98" i="1"/>
  <c r="L100" i="1"/>
  <c r="L101" i="1"/>
  <c r="L88" i="1"/>
  <c r="L89" i="1"/>
  <c r="L90" i="1"/>
  <c r="L91" i="1"/>
  <c r="L87" i="1"/>
  <c r="L82" i="1"/>
  <c r="L83" i="1"/>
  <c r="L84" i="1"/>
  <c r="L79" i="1"/>
  <c r="L80" i="1"/>
  <c r="L81" i="1"/>
  <c r="L73" i="1"/>
  <c r="L74" i="1"/>
  <c r="L75" i="1"/>
  <c r="L77" i="1"/>
  <c r="L78" i="1"/>
  <c r="J74" i="1"/>
  <c r="M74" i="1" s="1"/>
  <c r="J75" i="1"/>
  <c r="M75" i="1" s="1"/>
  <c r="J77" i="1"/>
  <c r="M77" i="1" s="1"/>
  <c r="J78" i="1"/>
  <c r="M78" i="1" s="1"/>
  <c r="J79" i="1"/>
  <c r="M79" i="1" s="1"/>
  <c r="J80" i="1"/>
  <c r="M80" i="1" s="1"/>
  <c r="J81" i="1"/>
  <c r="M81" i="1" s="1"/>
  <c r="J82" i="1"/>
  <c r="M82" i="1" s="1"/>
  <c r="J83" i="1"/>
  <c r="M83" i="1" s="1"/>
  <c r="J84" i="1"/>
  <c r="M84" i="1" s="1"/>
  <c r="J87" i="1"/>
  <c r="M87" i="1" s="1"/>
  <c r="J88" i="1"/>
  <c r="M88" i="1" s="1"/>
  <c r="J89" i="1"/>
  <c r="M89" i="1" s="1"/>
  <c r="J90" i="1"/>
  <c r="M90" i="1" s="1"/>
  <c r="J91" i="1"/>
  <c r="M91" i="1" s="1"/>
  <c r="J98" i="1"/>
  <c r="M98" i="1" s="1"/>
  <c r="J100" i="1"/>
  <c r="M100" i="1" s="1"/>
  <c r="J101" i="1"/>
  <c r="M101" i="1" s="1"/>
  <c r="J102" i="1"/>
  <c r="M102" i="1" s="1"/>
  <c r="J103" i="1"/>
  <c r="M103" i="1" s="1"/>
  <c r="J137" i="1"/>
  <c r="M137" i="1" s="1"/>
  <c r="J138" i="1"/>
  <c r="M138" i="1" s="1"/>
  <c r="J139" i="1"/>
  <c r="M139" i="1" s="1"/>
  <c r="J140" i="1"/>
  <c r="M140" i="1" s="1"/>
  <c r="J85" i="1"/>
  <c r="J86" i="1"/>
  <c r="J141" i="1"/>
  <c r="M141" i="1" s="1"/>
  <c r="J142" i="1"/>
  <c r="M142" i="1" s="1"/>
  <c r="J143" i="1"/>
  <c r="M143" i="1" s="1"/>
  <c r="J144" i="1"/>
  <c r="M144" i="1" s="1"/>
  <c r="J145" i="1"/>
  <c r="M145" i="1" s="1"/>
  <c r="J146" i="1"/>
  <c r="M146" i="1" s="1"/>
  <c r="J147" i="1"/>
  <c r="M147" i="1" s="1"/>
  <c r="J148" i="1"/>
  <c r="M148" i="1" s="1"/>
  <c r="J149" i="1"/>
  <c r="M149" i="1" s="1"/>
  <c r="J150" i="1"/>
  <c r="M150" i="1" s="1"/>
  <c r="J151" i="1"/>
  <c r="M151" i="1" s="1"/>
  <c r="J152" i="1"/>
  <c r="M152" i="1" s="1"/>
  <c r="J153" i="1"/>
  <c r="M153" i="1" s="1"/>
  <c r="J154" i="1"/>
  <c r="M154" i="1" s="1"/>
  <c r="J159" i="1"/>
  <c r="M159" i="1" s="1"/>
  <c r="J155" i="1"/>
  <c r="M155" i="1" s="1"/>
  <c r="J156" i="1"/>
  <c r="M156" i="1" s="1"/>
  <c r="J157" i="1"/>
  <c r="M157" i="1" s="1"/>
  <c r="J158" i="1"/>
  <c r="M158" i="1" s="1"/>
  <c r="J161" i="1"/>
  <c r="M161" i="1" s="1"/>
  <c r="J162" i="1"/>
  <c r="M162" i="1" s="1"/>
  <c r="J163" i="1"/>
  <c r="M163" i="1" s="1"/>
  <c r="J164" i="1"/>
  <c r="M164" i="1" s="1"/>
  <c r="J165" i="1"/>
  <c r="M165" i="1" s="1"/>
  <c r="J73" i="1"/>
  <c r="M73" i="1" s="1"/>
  <c r="L72" i="1"/>
  <c r="J72" i="1"/>
  <c r="M72" i="1" s="1"/>
  <c r="R10" i="6"/>
  <c r="I9" i="6"/>
  <c r="I8" i="6"/>
  <c r="I7" i="6"/>
  <c r="M10" i="6"/>
  <c r="K10" i="6"/>
  <c r="D21" i="7"/>
  <c r="D20" i="7"/>
  <c r="M5" i="7"/>
  <c r="Z19" i="6"/>
  <c r="H18" i="6"/>
  <c r="H19" i="6" s="1"/>
  <c r="J10" i="6"/>
  <c r="B10" i="6"/>
  <c r="E10" i="6" s="1"/>
  <c r="AA9" i="6"/>
  <c r="M9" i="6"/>
  <c r="K9" i="6"/>
  <c r="J9" i="6"/>
  <c r="S8" i="6"/>
  <c r="R8" i="6"/>
  <c r="O8" i="6"/>
  <c r="M8" i="6"/>
  <c r="J8" i="6"/>
  <c r="D8" i="6"/>
  <c r="B8" i="6"/>
  <c r="V7" i="6"/>
  <c r="U6" i="6"/>
  <c r="K6" i="6"/>
  <c r="J6" i="6"/>
  <c r="G6" i="6"/>
  <c r="G18" i="6" s="1"/>
  <c r="G19" i="6" s="1"/>
  <c r="D6" i="6"/>
  <c r="E6" i="6" s="1"/>
  <c r="E5" i="6"/>
  <c r="L35" i="5"/>
  <c r="G35" i="5"/>
  <c r="M35" i="5"/>
  <c r="L34" i="5"/>
  <c r="M34" i="5"/>
  <c r="G34" i="5"/>
  <c r="L33" i="5"/>
  <c r="M33" i="5"/>
  <c r="G33" i="5"/>
  <c r="L32" i="5"/>
  <c r="G32" i="5"/>
  <c r="M32" i="5"/>
  <c r="L31" i="5"/>
  <c r="G31" i="5"/>
  <c r="M31" i="5"/>
  <c r="L30" i="5"/>
  <c r="M30" i="5"/>
  <c r="L29" i="5"/>
  <c r="L37" i="5"/>
  <c r="G29" i="5"/>
  <c r="G37" i="5"/>
  <c r="D18" i="5"/>
  <c r="D19" i="5"/>
  <c r="N18" i="5"/>
  <c r="G6" i="5"/>
  <c r="G7" i="5"/>
  <c r="G9" i="5"/>
  <c r="G10" i="5"/>
  <c r="G11" i="5"/>
  <c r="G12" i="5"/>
  <c r="G13" i="5"/>
  <c r="G18" i="5"/>
  <c r="G19" i="5"/>
  <c r="C17" i="5"/>
  <c r="W17" i="5"/>
  <c r="U17" i="5"/>
  <c r="T17" i="5"/>
  <c r="M17" i="5"/>
  <c r="O17" i="5"/>
  <c r="B17" i="5"/>
  <c r="E17" i="5"/>
  <c r="H17" i="5"/>
  <c r="P17" i="5"/>
  <c r="C16" i="5"/>
  <c r="W16" i="5"/>
  <c r="C15" i="5"/>
  <c r="W15" i="5"/>
  <c r="W18" i="5"/>
  <c r="U16" i="5"/>
  <c r="T16" i="5"/>
  <c r="M16" i="5"/>
  <c r="O16" i="5"/>
  <c r="F16" i="5"/>
  <c r="H16" i="5"/>
  <c r="E16" i="5"/>
  <c r="P16" i="5"/>
  <c r="U15" i="5"/>
  <c r="T15" i="5"/>
  <c r="M15" i="5"/>
  <c r="L15" i="5"/>
  <c r="O15" i="5"/>
  <c r="F15" i="5"/>
  <c r="H15" i="5"/>
  <c r="E15" i="5"/>
  <c r="P15" i="5"/>
  <c r="U14" i="5"/>
  <c r="T14" i="5"/>
  <c r="M14" i="5"/>
  <c r="O14" i="5"/>
  <c r="F14" i="5"/>
  <c r="H14" i="5"/>
  <c r="C14" i="5"/>
  <c r="E14" i="5"/>
  <c r="P14" i="5"/>
  <c r="U13" i="5"/>
  <c r="T13" i="5"/>
  <c r="M13" i="5"/>
  <c r="O13" i="5"/>
  <c r="F13" i="5"/>
  <c r="H13" i="5"/>
  <c r="C13" i="5"/>
  <c r="E13" i="5"/>
  <c r="P13" i="5"/>
  <c r="T12" i="5"/>
  <c r="O12" i="5"/>
  <c r="F12" i="5"/>
  <c r="H12" i="5"/>
  <c r="C12" i="5"/>
  <c r="E12" i="5"/>
  <c r="P12" i="5"/>
  <c r="T11" i="5"/>
  <c r="R11" i="5"/>
  <c r="M11" i="5"/>
  <c r="O11" i="5"/>
  <c r="F11" i="5"/>
  <c r="H11" i="5"/>
  <c r="C11" i="5"/>
  <c r="E11" i="5"/>
  <c r="P11" i="5"/>
  <c r="U10" i="5"/>
  <c r="T10" i="5"/>
  <c r="L10" i="5"/>
  <c r="M10" i="5"/>
  <c r="O10" i="5"/>
  <c r="F10" i="5"/>
  <c r="H10" i="5"/>
  <c r="E10" i="5"/>
  <c r="P10" i="5"/>
  <c r="M9" i="5"/>
  <c r="O9" i="5"/>
  <c r="F9" i="5"/>
  <c r="H9" i="5"/>
  <c r="C9" i="5"/>
  <c r="E9" i="5"/>
  <c r="P9" i="5"/>
  <c r="U8" i="5"/>
  <c r="T8" i="5"/>
  <c r="L18" i="5"/>
  <c r="L5" i="5"/>
  <c r="L19" i="5"/>
  <c r="C6" i="5"/>
  <c r="C18" i="5"/>
  <c r="C19" i="5"/>
  <c r="U7" i="5"/>
  <c r="M7" i="5"/>
  <c r="O7" i="5"/>
  <c r="F7" i="5"/>
  <c r="H7" i="5"/>
  <c r="E7" i="5"/>
  <c r="P7" i="5"/>
  <c r="F6" i="5"/>
  <c r="H6" i="5"/>
  <c r="E6" i="5"/>
  <c r="V5" i="5"/>
  <c r="V6" i="5"/>
  <c r="V7" i="5"/>
  <c r="V8" i="5"/>
  <c r="V9" i="5"/>
  <c r="V10" i="5"/>
  <c r="V11" i="5"/>
  <c r="V12" i="5"/>
  <c r="V13" i="5"/>
  <c r="V14" i="5"/>
  <c r="V15" i="5"/>
  <c r="V16" i="5"/>
  <c r="M5" i="5"/>
  <c r="J67" i="1"/>
  <c r="M67" i="1" s="1"/>
  <c r="J68" i="1"/>
  <c r="M68" i="1" s="1"/>
  <c r="L67" i="1"/>
  <c r="L68" i="1"/>
  <c r="L51" i="1"/>
  <c r="J51" i="1"/>
  <c r="M51" i="1" s="1"/>
  <c r="L50" i="1"/>
  <c r="J50" i="1"/>
  <c r="M50" i="1" s="1"/>
  <c r="L49" i="1"/>
  <c r="J49" i="1"/>
  <c r="M49" i="1" s="1"/>
  <c r="L48" i="1"/>
  <c r="J48" i="1"/>
  <c r="M48" i="1" s="1"/>
  <c r="J46" i="1"/>
  <c r="M46" i="1" s="1"/>
  <c r="J47" i="1"/>
  <c r="M47" i="1" s="1"/>
  <c r="J52" i="1"/>
  <c r="M52" i="1" s="1"/>
  <c r="L46" i="1"/>
  <c r="L52" i="1"/>
  <c r="L42" i="1"/>
  <c r="L43" i="1"/>
  <c r="L44" i="1"/>
  <c r="L45" i="1"/>
  <c r="J42" i="1"/>
  <c r="M42" i="1" s="1"/>
  <c r="J43" i="1"/>
  <c r="M43" i="1" s="1"/>
  <c r="J44" i="1"/>
  <c r="M44" i="1" s="1"/>
  <c r="J45" i="1"/>
  <c r="M45" i="1" s="1"/>
  <c r="L40" i="1"/>
  <c r="J40" i="1"/>
  <c r="M40" i="1" s="1"/>
  <c r="L41" i="1"/>
  <c r="J41" i="1"/>
  <c r="M41" i="1" s="1"/>
  <c r="L62" i="1"/>
  <c r="J62" i="1"/>
  <c r="M62" i="1" s="1"/>
  <c r="H3" i="4"/>
  <c r="I3" i="4" s="1"/>
  <c r="I5" i="4" s="1"/>
  <c r="H4" i="4"/>
  <c r="I4" i="4" s="1"/>
  <c r="E5" i="4"/>
  <c r="H6" i="4"/>
  <c r="I6" i="4" s="1"/>
  <c r="I15" i="4" s="1"/>
  <c r="H7" i="4"/>
  <c r="I7" i="4" s="1"/>
  <c r="H8" i="4"/>
  <c r="I8" i="4" s="1"/>
  <c r="H9" i="4"/>
  <c r="I9" i="4" s="1"/>
  <c r="H10" i="4"/>
  <c r="I10" i="4" s="1"/>
  <c r="J10" i="4"/>
  <c r="J15" i="4"/>
  <c r="H11" i="4"/>
  <c r="I11" i="4" s="1"/>
  <c r="H12" i="4"/>
  <c r="I12" i="4" s="1"/>
  <c r="H13" i="4"/>
  <c r="I13" i="4" s="1"/>
  <c r="H14" i="4"/>
  <c r="I14" i="4" s="1"/>
  <c r="E15" i="4"/>
  <c r="H16" i="4"/>
  <c r="I16" i="4" s="1"/>
  <c r="I17" i="4" s="1"/>
  <c r="E17" i="4"/>
  <c r="H18" i="4"/>
  <c r="I18" i="4"/>
  <c r="I21" i="4" s="1"/>
  <c r="H19" i="4"/>
  <c r="I19" i="4"/>
  <c r="H20" i="4"/>
  <c r="I20" i="4"/>
  <c r="E21" i="4"/>
  <c r="H22" i="4"/>
  <c r="I22" i="4" s="1"/>
  <c r="I23" i="4" s="1"/>
  <c r="E23" i="4"/>
  <c r="H24" i="4"/>
  <c r="I24" i="4"/>
  <c r="H25" i="4"/>
  <c r="I25" i="4"/>
  <c r="H26" i="4"/>
  <c r="I26" i="4"/>
  <c r="H27" i="4"/>
  <c r="I27" i="4"/>
  <c r="H28" i="4"/>
  <c r="I28" i="4" s="1"/>
  <c r="H29" i="4"/>
  <c r="I29" i="4"/>
  <c r="H30" i="4"/>
  <c r="I30" i="4" s="1"/>
  <c r="H31" i="4"/>
  <c r="I31" i="4" s="1"/>
  <c r="E32" i="4"/>
  <c r="H33" i="4"/>
  <c r="I33" i="4" s="1"/>
  <c r="I38" i="4" s="1"/>
  <c r="H34" i="4"/>
  <c r="I34" i="4" s="1"/>
  <c r="H35" i="4"/>
  <c r="I35" i="4"/>
  <c r="H36" i="4"/>
  <c r="I36" i="4" s="1"/>
  <c r="H37" i="4"/>
  <c r="I37" i="4" s="1"/>
  <c r="E38" i="4"/>
  <c r="H39" i="4"/>
  <c r="I39" i="4" s="1"/>
  <c r="F40" i="4"/>
  <c r="H40" i="4"/>
  <c r="J40" i="4" s="1"/>
  <c r="H41" i="4"/>
  <c r="I41" i="4"/>
  <c r="H42" i="4"/>
  <c r="I42" i="4"/>
  <c r="H43" i="4"/>
  <c r="I43" i="4"/>
  <c r="G40" i="4"/>
  <c r="E44" i="4"/>
  <c r="H45" i="4"/>
  <c r="I45" i="4" s="1"/>
  <c r="I46" i="4" s="1"/>
  <c r="E46" i="4"/>
  <c r="H47" i="4"/>
  <c r="I47" i="4" s="1"/>
  <c r="I55" i="4" s="1"/>
  <c r="H48" i="4"/>
  <c r="I48" i="4"/>
  <c r="H49" i="4"/>
  <c r="I49" i="4"/>
  <c r="H50" i="4"/>
  <c r="I50" i="4"/>
  <c r="H51" i="4"/>
  <c r="I51" i="4" s="1"/>
  <c r="H52" i="4"/>
  <c r="I52" i="4"/>
  <c r="H53" i="4"/>
  <c r="I53" i="4"/>
  <c r="H54" i="4"/>
  <c r="I54" i="4"/>
  <c r="E55" i="4"/>
  <c r="H56" i="4"/>
  <c r="I56" i="4" s="1"/>
  <c r="I57" i="4" s="1"/>
  <c r="J56" i="4"/>
  <c r="E57" i="4"/>
  <c r="H58" i="4"/>
  <c r="I58" i="4" s="1"/>
  <c r="I61" i="4" s="1"/>
  <c r="H59" i="4"/>
  <c r="I59" i="4"/>
  <c r="H60" i="4"/>
  <c r="I60" i="4"/>
  <c r="E61" i="4"/>
  <c r="H62" i="4"/>
  <c r="I62" i="4"/>
  <c r="I63" i="4" s="1"/>
  <c r="E63" i="4"/>
  <c r="I64" i="4"/>
  <c r="I65" i="4"/>
  <c r="E66" i="4"/>
  <c r="I66" i="4"/>
  <c r="L31" i="1"/>
  <c r="L32" i="1"/>
  <c r="L33" i="1"/>
  <c r="L34" i="1"/>
  <c r="L35" i="1"/>
  <c r="L36" i="1"/>
  <c r="J31" i="1"/>
  <c r="M31" i="1" s="1"/>
  <c r="J32" i="1"/>
  <c r="M32" i="1" s="1"/>
  <c r="M33" i="1"/>
  <c r="J34" i="1"/>
  <c r="M34" i="1" s="1"/>
  <c r="J35" i="1"/>
  <c r="M35" i="1" s="1"/>
  <c r="J36" i="1"/>
  <c r="M36" i="1" s="1"/>
  <c r="L39" i="1"/>
  <c r="J39" i="1"/>
  <c r="M39" i="1" s="1"/>
  <c r="L38" i="1"/>
  <c r="J38" i="1"/>
  <c r="M38" i="1" s="1"/>
  <c r="L37" i="1"/>
  <c r="J37" i="1"/>
  <c r="M37" i="1" s="1"/>
  <c r="L30" i="1"/>
  <c r="J30" i="1"/>
  <c r="M30" i="1" s="1"/>
  <c r="L29" i="1"/>
  <c r="J29" i="1"/>
  <c r="M29" i="1" s="1"/>
  <c r="L26" i="1"/>
  <c r="J26" i="1"/>
  <c r="M26" i="1" s="1"/>
  <c r="L25" i="1"/>
  <c r="J25" i="1"/>
  <c r="M25" i="1" s="1"/>
  <c r="L24" i="1"/>
  <c r="J24" i="1"/>
  <c r="M24" i="1" s="1"/>
  <c r="L23" i="1"/>
  <c r="J23" i="1"/>
  <c r="M23" i="1" s="1"/>
  <c r="L28" i="1"/>
  <c r="J28" i="1"/>
  <c r="M28" i="1" s="1"/>
  <c r="L27" i="1"/>
  <c r="J27" i="1"/>
  <c r="M27" i="1" s="1"/>
  <c r="L22" i="1"/>
  <c r="J22" i="1"/>
  <c r="M22" i="1" s="1"/>
  <c r="L14" i="1"/>
  <c r="L15" i="1"/>
  <c r="L16" i="1"/>
  <c r="L17" i="1"/>
  <c r="L18" i="1"/>
  <c r="L19" i="1"/>
  <c r="L20" i="1"/>
  <c r="L21" i="1"/>
  <c r="J15" i="1"/>
  <c r="M15" i="1" s="1"/>
  <c r="J16" i="1"/>
  <c r="M16" i="1" s="1"/>
  <c r="J17" i="1"/>
  <c r="M17" i="1" s="1"/>
  <c r="J18" i="1"/>
  <c r="M18" i="1" s="1"/>
  <c r="J19" i="1"/>
  <c r="M19" i="1" s="1"/>
  <c r="J20" i="1"/>
  <c r="M20" i="1" s="1"/>
  <c r="J21" i="1"/>
  <c r="M21" i="1" s="1"/>
  <c r="J14" i="1"/>
  <c r="M14" i="1" s="1"/>
  <c r="L13" i="1"/>
  <c r="L7" i="1"/>
  <c r="L8" i="1"/>
  <c r="L9" i="1"/>
  <c r="L10" i="1"/>
  <c r="L11" i="1"/>
  <c r="L12" i="1"/>
  <c r="J8" i="1"/>
  <c r="M8" i="1" s="1"/>
  <c r="J9" i="1"/>
  <c r="M9" i="1" s="1"/>
  <c r="J10" i="1"/>
  <c r="M10" i="1" s="1"/>
  <c r="J11" i="1"/>
  <c r="M11" i="1" s="1"/>
  <c r="J12" i="1"/>
  <c r="M12" i="1" s="1"/>
  <c r="J13" i="1"/>
  <c r="M13" i="1" s="1"/>
  <c r="J7" i="1"/>
  <c r="M7" i="1" s="1"/>
  <c r="L3" i="1"/>
  <c r="L4" i="1"/>
  <c r="L5" i="1"/>
  <c r="L6" i="1"/>
  <c r="J3" i="1"/>
  <c r="M3" i="1" s="1"/>
  <c r="J4" i="1"/>
  <c r="M4" i="1" s="1"/>
  <c r="J5" i="1"/>
  <c r="M5" i="1" s="1"/>
  <c r="J6" i="1"/>
  <c r="M6" i="1" s="1"/>
  <c r="L55" i="1"/>
  <c r="J55" i="1"/>
  <c r="M55" i="1" s="1"/>
  <c r="L71" i="1"/>
  <c r="J71" i="1"/>
  <c r="M71" i="1" s="1"/>
  <c r="L70" i="1"/>
  <c r="J70" i="1"/>
  <c r="M70" i="1" s="1"/>
  <c r="L69" i="1"/>
  <c r="J69" i="1"/>
  <c r="M69" i="1" s="1"/>
  <c r="L66" i="1"/>
  <c r="J66" i="1"/>
  <c r="M66" i="1" s="1"/>
  <c r="L64" i="1"/>
  <c r="J64" i="1"/>
  <c r="M64" i="1" s="1"/>
  <c r="L63" i="1"/>
  <c r="M63" i="1"/>
  <c r="L61" i="1"/>
  <c r="J61" i="1"/>
  <c r="M61" i="1" s="1"/>
  <c r="L60" i="1"/>
  <c r="J60" i="1"/>
  <c r="M60" i="1" s="1"/>
  <c r="L59" i="1"/>
  <c r="J59" i="1"/>
  <c r="M59" i="1" s="1"/>
  <c r="L58" i="1"/>
  <c r="J58" i="1"/>
  <c r="M58" i="1" s="1"/>
  <c r="L57" i="1"/>
  <c r="J57" i="1"/>
  <c r="M57" i="1" s="1"/>
  <c r="L56" i="1"/>
  <c r="J56" i="1"/>
  <c r="M56" i="1" s="1"/>
  <c r="L54" i="1"/>
  <c r="J54" i="1"/>
  <c r="M54" i="1" s="1"/>
  <c r="L53" i="1"/>
  <c r="J53" i="1"/>
  <c r="M53" i="1" s="1"/>
  <c r="H25" i="6"/>
  <c r="V17" i="5"/>
  <c r="V19" i="5"/>
  <c r="H18" i="5"/>
  <c r="H19" i="5"/>
  <c r="E18" i="5"/>
  <c r="E19" i="5"/>
  <c r="O18" i="5"/>
  <c r="O19" i="5"/>
  <c r="P20" i="5"/>
  <c r="M18" i="5"/>
  <c r="M19" i="5"/>
  <c r="B18" i="5"/>
  <c r="B19" i="5"/>
  <c r="W14" i="5"/>
  <c r="M29" i="5"/>
  <c r="F18" i="5"/>
  <c r="F19" i="5"/>
  <c r="P6" i="5"/>
  <c r="P18" i="5"/>
  <c r="P19" i="5"/>
  <c r="I32" i="4" l="1"/>
  <c r="I40" i="4"/>
  <c r="I44" i="4" s="1"/>
  <c r="D10" i="11"/>
  <c r="C10" i="11"/>
  <c r="E8" i="6"/>
  <c r="E13" i="6"/>
  <c r="W13" i="6" s="1"/>
  <c r="AA13" i="6"/>
  <c r="V11" i="6"/>
  <c r="I6" i="6"/>
  <c r="V9" i="6"/>
  <c r="W9" i="6" s="1"/>
  <c r="V6" i="6"/>
  <c r="V8" i="6"/>
  <c r="F18" i="6"/>
  <c r="F19" i="6" s="1"/>
  <c r="V12" i="6"/>
  <c r="V10" i="6"/>
  <c r="W10" i="6" s="1"/>
  <c r="W7" i="6"/>
  <c r="AA6" i="6"/>
  <c r="Z6" i="6" s="1"/>
  <c r="Z7" i="6" s="1"/>
  <c r="Z8" i="6" s="1"/>
  <c r="Z9" i="6" s="1"/>
  <c r="Z10" i="6" s="1"/>
  <c r="Z11" i="6" s="1"/>
  <c r="Z12" i="6" s="1"/>
  <c r="Z13" i="6" s="1"/>
  <c r="Z14" i="6" s="1"/>
  <c r="B18" i="6"/>
  <c r="B19" i="6" s="1"/>
  <c r="D18" i="6"/>
  <c r="D19" i="6" s="1"/>
  <c r="E11" i="6"/>
  <c r="R18" i="6"/>
  <c r="R19" i="6" s="1"/>
  <c r="E12" i="6"/>
  <c r="S18" i="6"/>
  <c r="S19" i="6" s="1"/>
  <c r="I12" i="6"/>
  <c r="P25" i="6"/>
  <c r="K28" i="6"/>
  <c r="N26" i="6"/>
  <c r="AA8" i="6"/>
  <c r="H26" i="6"/>
  <c r="D27" i="6"/>
  <c r="D28" i="6" s="1"/>
  <c r="H28" i="6" s="1"/>
  <c r="W8" i="6" l="1"/>
  <c r="W11" i="6"/>
  <c r="W6" i="6"/>
  <c r="V18" i="6"/>
  <c r="V19" i="6" s="1"/>
  <c r="I18" i="6"/>
  <c r="I19" i="6" s="1"/>
  <c r="W12" i="6"/>
  <c r="AA18" i="6"/>
  <c r="E18" i="6"/>
  <c r="E19" i="6" s="1"/>
  <c r="K29" i="6"/>
  <c r="P26" i="6"/>
  <c r="N27" i="6"/>
  <c r="H27" i="6"/>
  <c r="D29" i="6"/>
  <c r="D30" i="6" s="1"/>
  <c r="W18" i="6" l="1"/>
  <c r="W19" i="6" s="1"/>
  <c r="N28" i="6"/>
  <c r="P27" i="6"/>
  <c r="K30" i="6"/>
  <c r="H29" i="6"/>
  <c r="H30" i="6"/>
  <c r="D31" i="6"/>
  <c r="K31" i="6" l="1"/>
  <c r="N29" i="6"/>
  <c r="P28" i="6"/>
  <c r="D32" i="6"/>
  <c r="H31" i="6"/>
  <c r="H32" i="6" l="1"/>
  <c r="D33" i="6"/>
  <c r="H33" i="6" s="1"/>
  <c r="N30" i="6"/>
  <c r="P29" i="6"/>
  <c r="K32" i="6"/>
  <c r="K33" i="6" s="1"/>
  <c r="N31" i="6" l="1"/>
  <c r="P30" i="6"/>
  <c r="P31" i="6" l="1"/>
  <c r="N32" i="6"/>
  <c r="P32" i="6" l="1"/>
  <c r="N33" i="6"/>
  <c r="P3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缪成武</author>
  </authors>
  <commentList>
    <comment ref="K4" authorId="0" shapeId="0" xr:uid="{7CBA0B93-C0A5-4A37-A64B-FA5D32706DA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含姣点2.4万</t>
        </r>
      </text>
    </comment>
    <comment ref="F5" authorId="0" shapeId="0" xr:uid="{E61B5C2B-0A14-4839-BB05-1AA8BBF229E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8-10已发放工资走天昱莹馨</t>
        </r>
      </text>
    </comment>
    <comment ref="G5" authorId="0" shapeId="0" xr:uid="{B9B84C40-35B1-4BCC-9264-07BD28423BC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8-12月留存工资
不含林总，
仅杨经理8万</t>
        </r>
      </text>
    </comment>
    <comment ref="C6" authorId="0" shapeId="0" xr:uid="{0DDE2A52-02E7-4034-BB9F-D110CAEDE9E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南通退卡1720</t>
        </r>
      </text>
    </comment>
    <comment ref="F6" authorId="0" shapeId="0" xr:uid="{F766FAEA-2B33-4FDF-B1D6-92CAD32457F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含乔8-12月工资</t>
        </r>
      </text>
    </comment>
    <comment ref="G6" authorId="0" shapeId="0" xr:uid="{649087DD-BDB4-4FA0-9EEB-9A7055BDBA3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杨1.6 林总4446.36</t>
        </r>
      </text>
    </comment>
    <comment ref="V6" authorId="0" shapeId="0" xr:uid="{605D8E6C-5349-46C6-8B64-A3EECFEFBF0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1.19还款3万
1.14借款6.5万</t>
        </r>
      </text>
    </comment>
    <comment ref="F7" authorId="0" shapeId="0" xr:uid="{C7D899FC-64C9-481B-AC78-28B386BBF2D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乔1月工资</t>
        </r>
      </text>
    </comment>
    <comment ref="G7" authorId="0" shapeId="0" xr:uid="{F394DF4B-A84B-4178-AD25-0185BB34549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林乔杨
乔杨 不发</t>
        </r>
      </text>
    </comment>
    <comment ref="V7" authorId="0" shapeId="0" xr:uid="{B8965A21-EA91-493C-B8F2-C0CE5D67459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2.26借款4万
2.18借款1万
2.3还款3万
</t>
        </r>
      </text>
    </comment>
    <comment ref="L8" authorId="0" shapeId="0" xr:uid="{4621C23C-B786-4E8A-BD8B-A4295BAAB9F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商标驳回复审及编码续展</t>
        </r>
      </text>
    </comment>
    <comment ref="V8" authorId="0" shapeId="0" xr:uid="{C7BE31F3-6C2B-4322-A958-A0DB9B331A5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3.31还款5万 +0.99万
3.25 借款0.5万
3.24借款1万
3.15借款1万</t>
        </r>
      </text>
    </comment>
    <comment ref="C9" authorId="0" shapeId="0" xr:uid="{96ED1BB0-2846-4A06-A3E1-9307CFB3836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退卡南通</t>
        </r>
      </text>
    </comment>
    <comment ref="L10" authorId="0" shapeId="0" xr:uid="{E41D2EAB-A288-4887-BC8F-80A0BB76EE8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11月已退回6万</t>
        </r>
      </text>
    </comment>
    <comment ref="V10" authorId="0" shapeId="0" xr:uid="{99A068C3-BF20-4E98-B6AE-0AD1FFA3F52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5.28还款5万
5.20借款12万
5.17借款3万
5.17还款3万</t>
        </r>
      </text>
    </comment>
    <comment ref="F11" authorId="0" shapeId="0" xr:uid="{40591AE4-587E-4906-B843-CDCD50CC61A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过节费2.4
乔1.74
胡必林6000对私7月15日发放</t>
        </r>
      </text>
    </comment>
    <comment ref="V11" authorId="0" shapeId="0" xr:uid="{9AAB533D-6521-4F27-B983-B991B1275E3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6月29还款5万
6.16借款4.5万
6.16还款6万
6.03还款4.5万</t>
        </r>
      </text>
    </comment>
    <comment ref="C12" authorId="0" shapeId="0" xr:uid="{C604BDA7-D22D-4196-8C64-5411ED40535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其中社保代缴4005</t>
        </r>
      </text>
    </comment>
    <comment ref="V12" authorId="0" shapeId="0" xr:uid="{0440C10D-DC82-4863-9B64-F227BEE69AE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709还款4万
715对公借款5万
722对私备用金2万
726对私还款3万</t>
        </r>
      </text>
    </comment>
    <comment ref="M13" authorId="0" shapeId="0" xr:uid="{3A604215-2FCB-4D52-8D02-60E79ED089E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律师费2万 培训费3万
胡工作服5000，介绍费2852.5
</t>
        </r>
      </text>
    </comment>
    <comment ref="V13" authorId="0" shapeId="0" xr:uid="{55891771-C254-4545-B980-7F203FD8DCD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812微信还款2万
816中行还款3万
816对公借款6.5万
818中行还款3万
8.24中行还款2万
8.26对公借款3万
8.31微信还0.5万中行还1.5万</t>
        </r>
      </text>
    </comment>
    <comment ref="C14" authorId="0" shapeId="0" xr:uid="{6C1C0611-85F5-47F6-88B5-13BAFA10815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天昱莹馨代账
社保代缴5340</t>
        </r>
      </text>
    </comment>
    <comment ref="F14" authorId="0" shapeId="0" xr:uid="{6266AD06-DE03-4C66-B6E3-EAE40DA3638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徐飚、徐咪、姚玲、缪成武、张亚运留存工资已全部结清 乔楊
合计207882.75
社保21360</t>
        </r>
      </text>
    </comment>
    <comment ref="G14" authorId="0" shapeId="0" xr:uid="{9FAC55FA-329A-4422-BC90-81AE44083A2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林总</t>
        </r>
      </text>
    </comment>
    <comment ref="M14" authorId="0" shapeId="0" xr:uid="{B499195F-445D-47CA-91D7-47DE80BD889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留存工资利息1300+800+400
3000代账</t>
        </r>
      </text>
    </comment>
    <comment ref="V14" authorId="0" shapeId="0" xr:uid="{C8916416-C330-4086-96FB-99F4271B729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902还款2万
906借款10万
910还款2万
910还款1万
911借款4万
915借款6.5万
925还款3万
929还款1万
928留存工资借款10.25万
930还款2.5万</t>
        </r>
      </text>
    </comment>
    <comment ref="C15" authorId="0" shapeId="0" xr:uid="{F0209D22-5511-42FB-A3DC-8740030C1AE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社保代缴5340
活动：108422</t>
        </r>
      </text>
    </comment>
    <comment ref="F15" authorId="0" shapeId="0" xr:uid="{3BAA2B9F-DCB7-4DA7-B690-B12709BBD01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社保及个税
</t>
        </r>
      </text>
    </comment>
    <comment ref="V15" authorId="0" shapeId="0" xr:uid="{8911614C-7D9E-486F-AECA-526F085D4AA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10.13借款7万对公
10.14还款私1.9万
10.14借款2万公
10.15借款2万私
</t>
        </r>
      </text>
    </comment>
    <comment ref="B16" authorId="0" shapeId="0" xr:uid="{39F96A6E-D376-469F-9103-C51C7FA8A0A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众聚退款6万招商</t>
        </r>
      </text>
    </comment>
    <comment ref="F16" authorId="0" shapeId="0" xr:uid="{917FE220-0B10-482C-9818-FDA8DB37C03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社保及个税</t>
        </r>
      </text>
    </comment>
    <comment ref="K16" authorId="0" shapeId="0" xr:uid="{DA33D62C-9426-4F72-8EAD-BA47B36B459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姣点推广首期费用</t>
        </r>
      </text>
    </comment>
    <comment ref="L16" authorId="0" shapeId="0" xr:uid="{86D61CA3-CEB4-410F-82EF-A921C180086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美经宝首付款0.3成</t>
        </r>
      </text>
    </comment>
    <comment ref="M16" authorId="0" shapeId="0" xr:uid="{F5056BF2-265E-4A26-8143-45D2E3DC49E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169.6为银行手续费
1260是江南粉黛退款</t>
        </r>
      </text>
    </comment>
    <comment ref="V16" authorId="0" shapeId="0" xr:uid="{C9C39416-9F18-4F62-B6F4-9C0C5197142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11.04转姚玲3000
11.05对公借款3万
11.12转姚玲2.7万
11.12对公借款7万
11.23对公借款23.5万
11.24转姚玲4000
11.24对公还款6万</t>
        </r>
      </text>
    </comment>
    <comment ref="B17" authorId="1" shapeId="0" xr:uid="{B406BF42-8693-45D5-BB37-AC024FF3EA77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59400 众聚退款
29852 广济产品</t>
        </r>
      </text>
    </comment>
    <comment ref="C17" authorId="1" shapeId="0" xr:uid="{9DF12F24-6363-466C-9E74-8B13208C79B5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12.21赛香妃回款73728
12.25赛香妃尾款30920
12.28紫愫回款61032.5
12.29紫愫回款10000
12.29丹兰回款1190
12.29丹兰买产品484
12.29云群2792</t>
        </r>
      </text>
    </comment>
    <comment ref="M17" authorId="1" shapeId="0" xr:uid="{12FE2323-00AE-4902-9358-AF600A4A83D4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9.11中南明月退款1917
12.12办公室物业12049.3
12月对私报销34987.51
12月对公报销4378.94</t>
        </r>
      </text>
    </comment>
    <comment ref="V17" authorId="1" shapeId="0" xr:uid="{5DF5461C-BCCE-4289-9409-17F53C712EFD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12.1转姚玲5000
12.14对公借款10000
12.15转姚玲25000
12.15对公借款54000
12.20对公还款60000
12.21对公借款26000
12.24对公还款30000
12.29转姚玲2000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缪成武</author>
  </authors>
  <commentList>
    <comment ref="J4" authorId="0" shapeId="0" xr:uid="{9EABE1A7-CFE1-4986-8876-51801102B63F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跨行快汇手续费
余额变动提醒手续费(30元/月)</t>
        </r>
      </text>
    </comment>
    <comment ref="D6" authorId="0" shapeId="0" xr:uid="{54F06260-7AAD-45C5-9717-18AC2C46FDE9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1.3 孟广凤（赛香妃） 39940
1.20 赛香妃 133271.2
1.28 嘉瑞思及紫愫 26900.63</t>
        </r>
      </text>
    </comment>
    <comment ref="X6" authorId="0" shapeId="0" xr:uid="{44089010-EA26-4A84-A179-814D3D7D0E62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1-10 65000</t>
        </r>
      </text>
    </comment>
    <comment ref="Y6" authorId="0" shapeId="0" xr:uid="{54AC756B-6571-4ADE-815C-67834D519936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1-13 51000</t>
        </r>
      </text>
    </comment>
    <comment ref="D7" authorId="0" shapeId="0" xr:uid="{7C18259C-2F08-451B-864D-E6F886EF1C5D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2.17 丹兰 6900</t>
        </r>
      </text>
    </comment>
    <comment ref="F7" authorId="0" shapeId="0" xr:uid="{4EC820EA-5F7F-4715-9821-654F06BCE7BF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工资33431.82
社保13432.5</t>
        </r>
      </text>
    </comment>
    <comment ref="X7" authorId="0" shapeId="0" xr:uid="{05544BC8-2D4D-4513-AF1A-400AD012B42C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2-21 13000
2-22 2000
2-28 41000</t>
        </r>
      </text>
    </comment>
    <comment ref="Y7" authorId="0" shapeId="0" xr:uid="{55EB5BE3-8FAE-4426-9626-2F17FF940D37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2-15 13000</t>
        </r>
      </text>
    </comment>
    <comment ref="B8" authorId="0" shapeId="0" xr:uid="{8597EBB3-A2FA-4CD1-BDD3-87D2149706CA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3.4 黄香兰 7340
</t>
        </r>
        <r>
          <rPr>
            <sz val="9"/>
            <color indexed="81"/>
            <rFont val="宋体"/>
            <family val="3"/>
            <charset val="134"/>
          </rPr>
          <t>3.10 周艳秋 14925
3.12 周艳秋 21585
3.16 周艳秋 27171.75
3.18 黄香兰 1990
3.25 黄香兰 2000
3.28 周艳秋 8749.88
3.29 周艳秋 5763.75</t>
        </r>
      </text>
    </comment>
    <comment ref="D8" authorId="0" shapeId="0" xr:uid="{82F43FBF-D832-474F-96C9-4229F7FCC093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3.7 周艳秋 49785</t>
        </r>
      </text>
    </comment>
    <comment ref="F8" authorId="0" shapeId="0" xr:uid="{183C5D5C-DDE0-4885-A620-76E440E16301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工资16063.75
社保11940</t>
        </r>
      </text>
    </comment>
    <comment ref="J8" authorId="0" shapeId="0" xr:uid="{0D63E71B-B989-4E4E-8C41-6ADF0CEFF305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回单打印 300</t>
        </r>
      </text>
    </comment>
    <comment ref="M8" authorId="0" shapeId="0" xr:uid="{A7B1791E-BE4B-436E-A242-8EA31A2EC09D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3.10 美经宝开发第二笔款 78000</t>
        </r>
      </text>
    </comment>
    <comment ref="T8" authorId="0" shapeId="0" xr:uid="{04FE9008-F149-4D93-8226-75F21FFD6256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3.7 赛香妃黄莉莉退款 1520</t>
        </r>
      </text>
    </comment>
    <comment ref="X8" authorId="0" shapeId="0" xr:uid="{19CE9FA4-6EBB-44C4-ACC5-3308DCD60949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3.10 100000
</t>
        </r>
      </text>
    </comment>
    <comment ref="Y8" authorId="0" shapeId="0" xr:uid="{B455D4AD-0AC6-480F-8842-A62C8334DD55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3-4 12000</t>
        </r>
      </text>
    </comment>
    <comment ref="B9" authorId="0" shapeId="0" xr:uid="{ED2DE4A9-5388-4B08-ABF0-F790DA6E4C8D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4-8 辣妈店赵琳琳 5000
4-7 丹兰店黄香兰 650
4-14 紫愫、嘉瑞思周艳秋 27810</t>
        </r>
      </text>
    </comment>
    <comment ref="D9" authorId="0" shapeId="0" xr:uid="{BD7F6AE5-B623-47A9-8D72-5373E7FC06E4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4-7 云群店郭云群 690</t>
        </r>
      </text>
    </comment>
    <comment ref="F9" authorId="0" shapeId="0" xr:uid="{97C79C41-BEF9-43B7-93EB-9DAB0A75CC22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工资63276.59
社保4061.25</t>
        </r>
      </text>
    </comment>
    <comment ref="M9" authorId="0" shapeId="0" xr:uid="{5DA25744-ED7B-43E4-B14E-8967BBBC0722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4-6 服务器 10692.45
4-8 美经宝第三笔部分开发款 100000</t>
        </r>
      </text>
    </comment>
    <comment ref="O9" authorId="0" shapeId="0" xr:uid="{21DFC452-98D1-4E98-9773-F1C06786F869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紫愫陆娇果闭月羞花1套 796
紫愫朱巧云春漾年华2套 1592</t>
        </r>
      </text>
    </comment>
    <comment ref="X9" authorId="0" shapeId="0" xr:uid="{01041A49-B86F-4E4C-8B08-8DB571719E13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4-8 100000
4-15 30000</t>
        </r>
      </text>
    </comment>
    <comment ref="B10" authorId="0" shapeId="0" xr:uid="{766820D2-8148-4A7E-9EA6-B102739352F1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5-5 黄香兰 1000
5-11 周艳秋 4296.75
5-14 黄香兰 1450
5-18 周艳秋 10380
5-23 周艳秋 12180
5-23 丹兰产品 92
5-17 稳岗返还（社保） 4662</t>
        </r>
      </text>
    </comment>
    <comment ref="F10" authorId="0" shapeId="0" xr:uid="{D686ED44-91EF-4F89-B91E-B69DE8029B6B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工资 19378.42
社保 11940</t>
        </r>
      </text>
    </comment>
    <comment ref="H10" authorId="0" shapeId="0" xr:uid="{EF72419A-A040-4244-9558-AF0CF14A32EC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林总 3748.75</t>
        </r>
      </text>
    </comment>
    <comment ref="M10" authorId="0" shapeId="0" xr:uid="{D6BE189D-E63A-43FC-90F7-4516E9590FB7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5-9 美经宝第三笔款尾款 134000</t>
        </r>
      </text>
    </comment>
    <comment ref="O10" authorId="0" shapeId="0" xr:uid="{0014EFE5-3FED-46E7-82ED-533307FD7A0D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5-24 红月亮 3180</t>
        </r>
      </text>
    </comment>
    <comment ref="R10" authorId="0" shapeId="0" xr:uid="{AF6F71DA-FAA1-4318-B72E-B5129B93DF78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5-26 溧阳租房押金 2000
5-28 溧阳租房中介费 1600
5-28 溧阳租房房租物业 15865</t>
        </r>
      </text>
    </comment>
    <comment ref="X10" authorId="0" shapeId="0" xr:uid="{01B2F55D-8E47-463C-9F18-E68FB39C0A81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5-9 130000
5-16 20000
5-27 16000</t>
        </r>
      </text>
    </comment>
    <comment ref="B11" authorId="0" shapeId="0" xr:uid="{F115984C-83CB-4002-90CF-ADA047BDAD3E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6-11 植物医生 6900
6-13 紫愫 56088.75
</t>
        </r>
        <r>
          <rPr>
            <sz val="9"/>
            <color indexed="81"/>
            <rFont val="宋体"/>
            <family val="3"/>
            <charset val="134"/>
          </rPr>
          <t>6-18 柏妮丝 13800
6-20 紫愫 4072.5
6-20 丹兰 8900
6-21 工行利息 9.61
6-21 招商利息 0.63
6-21 浙商利息 1.34
6-21 浙商利息减免 249.72
6-29 浙商返息 241.67</t>
        </r>
      </text>
    </comment>
    <comment ref="C11" authorId="0" shapeId="0" xr:uid="{C52E80DE-FE79-453E-BC66-B17C4FE2383B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6-16 天昱莹馨 365</t>
        </r>
      </text>
    </comment>
    <comment ref="D11" authorId="0" shapeId="0" xr:uid="{9ED377CD-2662-43EB-9933-BBF6A1935344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6-12 辣妈 3000
6-19 赛香妃员工 100
6-19 丹兰员工 200
6-23 赛香妃员工 2100
6-14 赛香妃 100000
6-31 赛香妃 184328.8</t>
        </r>
      </text>
    </comment>
    <comment ref="F11" authorId="0" shapeId="0" xr:uid="{A853BD9D-7689-473D-942C-2511A67402F2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工资 33688.13
社保 11940
社保延交 17.14</t>
        </r>
      </text>
    </comment>
    <comment ref="Q11" authorId="0" shapeId="0" xr:uid="{3DAD7050-3D98-4499-8409-D80B53B8764F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餐饮 559.3</t>
        </r>
      </text>
    </comment>
    <comment ref="R11" authorId="0" shapeId="0" xr:uid="{BF581D5F-5E09-4F20-9D18-957DDFC935D4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2334 油费
1335.8 餐饮、住宿等</t>
        </r>
      </text>
    </comment>
    <comment ref="S11" authorId="0" shapeId="0" xr:uid="{6FDD3C6F-FDEE-41DE-9641-7AA4AC077D78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可尔医疗 设备 4000
电费、话费 1050
停车费 2400
仪器维修 304.5</t>
        </r>
      </text>
    </comment>
    <comment ref="T11" authorId="0" shapeId="0" xr:uid="{EAEACB27-03A0-4EC9-9E2A-55A8D87D6F1F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6-14 刘华菊 2985</t>
        </r>
      </text>
    </comment>
    <comment ref="X11" authorId="0" shapeId="0" xr:uid="{5829969B-6E22-4BB0-9728-EAF1803A8CB0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6-8 4000
6-21 -20000</t>
        </r>
      </text>
    </comment>
    <comment ref="B12" authorId="0" shapeId="0" xr:uid="{9B5F3E6F-C4A5-4C7B-BA42-93F24B8C2ED6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7-6 丹兰 1990
7-6 嘉瑞思 15210
7-7 扶持资金 5000
7-18 嘉瑞思 40695
7-19 赛香妃 110000
7-23 嘉瑞思 14580
7-24 优美时代 43335
</t>
        </r>
        <r>
          <rPr>
            <sz val="9"/>
            <color indexed="81"/>
            <rFont val="宋体"/>
            <family val="3"/>
            <charset val="134"/>
          </rPr>
          <t>7-21 浙商返息 241.67</t>
        </r>
      </text>
    </comment>
    <comment ref="D12" authorId="0" shapeId="0" xr:uid="{E454F60A-E813-409B-8EB1-12CAEAF45D6D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7-28 赛香妃员工</t>
        </r>
        <r>
          <rPr>
            <sz val="9"/>
            <color indexed="81"/>
            <rFont val="宋体"/>
            <family val="3"/>
            <charset val="134"/>
          </rPr>
          <t xml:space="preserve"> 4900
7-30 璞悦 15920</t>
        </r>
      </text>
    </comment>
    <comment ref="F12" authorId="0" shapeId="0" xr:uid="{DB6CEB4A-572E-4FBE-9BEC-88CC848E85EC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工资 101823.97
社保（含减免） </t>
        </r>
        <r>
          <rPr>
            <sz val="9"/>
            <color indexed="81"/>
            <rFont val="宋体"/>
            <family val="3"/>
            <charset val="134"/>
          </rPr>
          <t>9288</t>
        </r>
        <r>
          <rPr>
            <sz val="9"/>
            <color indexed="81"/>
            <rFont val="宋体"/>
            <family val="3"/>
            <charset val="134"/>
          </rPr>
          <t xml:space="preserve">
个税 905</t>
        </r>
        <r>
          <rPr>
            <sz val="9"/>
            <color indexed="81"/>
            <rFont val="宋体"/>
            <family val="3"/>
            <charset val="134"/>
          </rPr>
          <t>.</t>
        </r>
        <r>
          <rPr>
            <sz val="9"/>
            <color indexed="81"/>
            <rFont val="宋体"/>
            <family val="3"/>
            <charset val="134"/>
          </rPr>
          <t>69</t>
        </r>
      </text>
    </comment>
    <comment ref="X12" authorId="0" shapeId="0" xr:uid="{B446E199-55BD-4C6A-81B3-0503D36619D4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7-4 20000
7-15 80000
7-19 -120000
7-25 -70000</t>
        </r>
      </text>
    </comment>
    <comment ref="Y12" authorId="0" shapeId="0" xr:uid="{96438CFB-2941-42CF-BA55-E08A43B43738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7-5 100000
对私工资 50000</t>
        </r>
      </text>
    </comment>
    <comment ref="B13" authorId="0" shapeId="0" xr:uid="{BE8A62FD-89B5-4DDA-8CF2-AE5005C11B3F}">
      <text>
        <r>
          <rPr>
            <b/>
            <sz val="9"/>
            <color indexed="81"/>
            <rFont val="宋体"/>
            <family val="3"/>
            <charset val="134"/>
          </rPr>
          <t xml:space="preserve">缪成武:
8-6 赛香妃 10320
8-8 嘉瑞思 9337.5
8-8 植物医生 14900
8-9 丹兰 3450
8-10 嘉瑞思 15600
8-23 嘉瑞思 35505
8-30 优美时代 46404
8-31 赛香妃 181160
</t>
        </r>
        <r>
          <rPr>
            <b/>
            <sz val="9"/>
            <color indexed="81"/>
            <rFont val="宋体"/>
            <family val="3"/>
            <charset val="134"/>
          </rPr>
          <t>8-21 浙商返息 249.72</t>
        </r>
      </text>
    </comment>
    <comment ref="D13" authorId="0" shapeId="0" xr:uid="{F3026614-D9CC-4A86-A684-D1B67FC833B4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8-20 璞悦 25512
8-22 云群 1250
8-23 丹兰员工 790</t>
        </r>
      </text>
    </comment>
    <comment ref="F13" authorId="0" shapeId="0" xr:uid="{1435DE96-72F8-4525-8B19-0DF7C3161290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7月工资 85026.42
7月个税 703.48
8月社保（含公司减免） 8217</t>
        </r>
      </text>
    </comment>
    <comment ref="N13" authorId="0" shapeId="0" xr:uid="{FC60C014-A5C5-40A4-9779-876BAE9EE557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8-15 孟广凤 2166
8-31 孟广凤 2320.2</t>
        </r>
      </text>
    </comment>
    <comment ref="S13" authorId="0" shapeId="0" xr:uid="{210EAF31-9C3E-4A69-8808-BC1CAB1F6ED8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8-9 物业费
</t>
        </r>
      </text>
    </comment>
    <comment ref="T13" authorId="0" shapeId="0" xr:uid="{D9055ECE-41E2-498E-83CB-FCB5E5D7C1CD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8-31 孟广凤 8840</t>
        </r>
      </text>
    </comment>
    <comment ref="X13" authorId="0" shapeId="0" xr:uid="{0D05C70E-0179-4933-88E8-CCAC3E3185B9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8-15 75000</t>
        </r>
      </text>
    </comment>
    <comment ref="Y13" authorId="0" shapeId="0" xr:uid="{84AE75DE-15B2-413D-9BAC-266FFECE43C0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8-10 5000
8-11 7000
对私工资 15000</t>
        </r>
      </text>
    </comment>
    <comment ref="B14" authorId="0" shapeId="0" xr:uid="{703E13C4-C30E-44DC-BFC8-C0B9BACB44E6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9-03 周艳秋 6375
9-07 黄香兰 5900
9-07 刘华菊 23625
9-08 周艳秋 26392.5
9-21 工行利息 20.18
9-23 杜成英 56370
9-28 周艳秋 18328.5
9-30 支付测试 0.01
9-30 孟广凤 184713.6
9-21 招商利息 0.4</t>
        </r>
      </text>
    </comment>
    <comment ref="D14" authorId="0" shapeId="0" xr:uid="{0FE664A8-FB1D-4A36-9B6C-12323D63D562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9-13 秀媛堂 13400
9-15 赛香妃员工丹兰换货 200
9-30 季竞 36000
9-14 洗液 300 姚玲收</t>
        </r>
      </text>
    </comment>
    <comment ref="F14" authorId="0" shapeId="0" xr:uid="{690942C3-4CDE-4DB6-A795-C260F207FFAB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工资 71784.19
个税 718.48
社保 8127</t>
        </r>
      </text>
    </comment>
    <comment ref="N14" authorId="0" shapeId="0" xr:uid="{AE1A1B69-9146-48F9-8C77-907F30910CB2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9-24 孟广凤 2818.5</t>
        </r>
      </text>
    </comment>
    <comment ref="X14" authorId="0" shapeId="0" xr:uid="{30747ABE-D4AE-49A6-90E1-6C2BF7364C52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9-01 -200000
9-30 -200000</t>
        </r>
      </text>
    </comment>
    <comment ref="Y14" authorId="0" shapeId="0" xr:uid="{DE9A44B1-5A7E-4179-9660-3A2217F44A5E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9-07 5000
对私工资 50000</t>
        </r>
      </text>
    </comment>
    <comment ref="D24" authorId="0" shapeId="0" xr:uid="{0A9D3A44-C79B-4FC0-A2AB-0C97C8F5B5DC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2021年结余-58147.9</t>
        </r>
      </text>
    </comment>
    <comment ref="G24" authorId="0" shapeId="0" xr:uid="{9E426B41-7A31-4DA6-BD2D-6BB074128FDE}">
      <text>
        <r>
          <rPr>
            <b/>
            <sz val="9"/>
            <color indexed="81"/>
            <rFont val="宋体"/>
            <family val="3"/>
            <charset val="134"/>
          </rPr>
          <t>缪成武:</t>
        </r>
        <r>
          <rPr>
            <sz val="9"/>
            <color indexed="81"/>
            <rFont val="宋体"/>
            <family val="3"/>
            <charset val="134"/>
          </rPr>
          <t xml:space="preserve">
2021年结余 58346.79</t>
        </r>
      </text>
    </comment>
  </commentList>
</comments>
</file>

<file path=xl/sharedStrings.xml><?xml version="1.0" encoding="utf-8"?>
<sst xmlns="http://schemas.openxmlformats.org/spreadsheetml/2006/main" count="3012" uniqueCount="754">
  <si>
    <t>4月1日已结3630</t>
    <phoneticPr fontId="4" type="noConversion"/>
  </si>
  <si>
    <t>合计</t>
    <phoneticPr fontId="4" type="noConversion"/>
  </si>
  <si>
    <t>项目(排宫毒）</t>
    <phoneticPr fontId="4" type="noConversion"/>
  </si>
  <si>
    <t>徐亚杰</t>
    <phoneticPr fontId="4" type="noConversion"/>
  </si>
  <si>
    <t>产品(春漾年华20支）</t>
    <phoneticPr fontId="4" type="noConversion"/>
  </si>
  <si>
    <t>高荣</t>
    <phoneticPr fontId="4" type="noConversion"/>
  </si>
  <si>
    <t>丹兰养生馆</t>
    <phoneticPr fontId="4" type="noConversion"/>
  </si>
  <si>
    <t>3月29日已退</t>
  </si>
  <si>
    <t>合计</t>
  </si>
  <si>
    <t>退卡项业绩</t>
  </si>
  <si>
    <t>郑晓</t>
  </si>
  <si>
    <t>紫愫店</t>
  </si>
  <si>
    <t>转账公司账户</t>
  </si>
  <si>
    <t>3月28日已结</t>
  </si>
  <si>
    <t>相城嘉瑞丝</t>
  </si>
  <si>
    <t>祛痘疗程6次</t>
  </si>
  <si>
    <t>刘慧琳</t>
  </si>
  <si>
    <t>马飞琼</t>
  </si>
  <si>
    <t>3月25日已结</t>
  </si>
  <si>
    <t>成交6900(已付4000,还欠2900)</t>
  </si>
  <si>
    <t>排宫毒3次</t>
  </si>
  <si>
    <t>沙楠</t>
  </si>
  <si>
    <t>丹兰养生馆</t>
  </si>
  <si>
    <t>3月29日已结</t>
  </si>
  <si>
    <t>王向南</t>
  </si>
  <si>
    <t>眼霜1支</t>
  </si>
  <si>
    <t>水2支</t>
  </si>
  <si>
    <t>洗面奶1支</t>
  </si>
  <si>
    <t>熊思思</t>
  </si>
  <si>
    <t>充值卡余额</t>
  </si>
  <si>
    <t>洗液3支</t>
  </si>
  <si>
    <t>员工购买洗液2支，公司实收200</t>
  </si>
  <si>
    <t>水5支</t>
  </si>
  <si>
    <t>洗面奶5支</t>
  </si>
  <si>
    <t>奚晴雯</t>
  </si>
  <si>
    <t>3月18日已结</t>
  </si>
  <si>
    <t>胡华</t>
  </si>
  <si>
    <t>3月16日已结</t>
  </si>
  <si>
    <t>产品：水</t>
    <phoneticPr fontId="4" type="noConversion"/>
  </si>
  <si>
    <t>祛痘调理3次</t>
  </si>
  <si>
    <t>马静</t>
  </si>
  <si>
    <t>面部排激毒6次</t>
  </si>
  <si>
    <r>
      <t>3月</t>
    </r>
    <r>
      <rPr>
        <sz val="12"/>
        <rFont val="宋体"/>
        <family val="3"/>
        <charset val="134"/>
      </rPr>
      <t>5月项目还款</t>
    </r>
    <phoneticPr fontId="4" type="noConversion"/>
  </si>
  <si>
    <t>还款</t>
  </si>
  <si>
    <t>孙童</t>
  </si>
  <si>
    <t>员工购买洗液6支，公司实收600</t>
  </si>
  <si>
    <t>张洁</t>
  </si>
  <si>
    <t>私密抵抗力</t>
  </si>
  <si>
    <t>陆娇果</t>
  </si>
  <si>
    <t>幸运夫人洗液2支</t>
  </si>
  <si>
    <t>产品</t>
  </si>
  <si>
    <t>春漾年华10支</t>
  </si>
  <si>
    <t>私密仪器排毒3次</t>
  </si>
  <si>
    <t>朱丽芳</t>
  </si>
  <si>
    <t>3月12日已结</t>
  </si>
  <si>
    <t>退费</t>
  </si>
  <si>
    <t>费雅婷</t>
  </si>
  <si>
    <t>明星霜八倍霜逗水</t>
  </si>
  <si>
    <t>面部调理6次</t>
  </si>
  <si>
    <t>张梦娟</t>
  </si>
  <si>
    <t>明星霜八杯霜痘水</t>
  </si>
  <si>
    <t>祛痘排激毒调理6次</t>
  </si>
  <si>
    <t>马雨菲</t>
  </si>
  <si>
    <t>转账林总账户</t>
  </si>
  <si>
    <t>3月14日已结</t>
  </si>
  <si>
    <t>排宫毒单次</t>
  </si>
  <si>
    <t>王春芳</t>
  </si>
  <si>
    <t>宜兴秀媛堂</t>
  </si>
  <si>
    <t>3月10日已结，3月12日退费和3月11日的活动一起结算</t>
  </si>
  <si>
    <t>叶桃</t>
  </si>
  <si>
    <t>中南俏视界</t>
  </si>
  <si>
    <t>3月7日回款49785元，675元未结</t>
  </si>
  <si>
    <t>私密仪器排毒/6次</t>
  </si>
  <si>
    <t>薛蜜</t>
  </si>
  <si>
    <t>昆山嘉瑞丝</t>
  </si>
  <si>
    <t>宫颈糜烂套盒</t>
  </si>
  <si>
    <t>修复水，修复霜，明星霜</t>
  </si>
  <si>
    <t>熊丝丝</t>
  </si>
  <si>
    <t>神仙水，明星霜</t>
  </si>
  <si>
    <t>修复水，神仙水，明星霜，洁面乳，菊花水</t>
  </si>
  <si>
    <t>何梦婷</t>
  </si>
  <si>
    <t>3月4日已结</t>
  </si>
  <si>
    <t>修复霜，修复水</t>
  </si>
  <si>
    <t>何虹</t>
  </si>
  <si>
    <t>进账</t>
  </si>
  <si>
    <t>备注</t>
  </si>
  <si>
    <t>未结</t>
  </si>
  <si>
    <t>分成金额</t>
  </si>
  <si>
    <t>分成比例</t>
  </si>
  <si>
    <t>顾客未结</t>
  </si>
  <si>
    <t>顾客已结</t>
  </si>
  <si>
    <t>活动金额</t>
  </si>
  <si>
    <t>项目名称</t>
  </si>
  <si>
    <t>客户名称</t>
  </si>
  <si>
    <t>活动时间</t>
  </si>
  <si>
    <t>美容院</t>
  </si>
  <si>
    <t>顾客姓名</t>
    <phoneticPr fontId="4" type="noConversion"/>
  </si>
  <si>
    <t>消费类别</t>
    <phoneticPr fontId="4" type="noConversion"/>
  </si>
  <si>
    <t>顾客应付</t>
    <phoneticPr fontId="4" type="noConversion"/>
  </si>
  <si>
    <t>顾客实付</t>
    <phoneticPr fontId="4" type="noConversion"/>
  </si>
  <si>
    <t>顾客欠款</t>
    <phoneticPr fontId="4" type="noConversion"/>
  </si>
  <si>
    <t>未结分成金额</t>
    <phoneticPr fontId="4" type="noConversion"/>
  </si>
  <si>
    <t>回款日期</t>
    <phoneticPr fontId="4" type="noConversion"/>
  </si>
  <si>
    <t>打款对象</t>
    <phoneticPr fontId="4" type="noConversion"/>
  </si>
  <si>
    <t>收款对象</t>
    <phoneticPr fontId="4" type="noConversion"/>
  </si>
  <si>
    <t>张颖</t>
    <phoneticPr fontId="4" type="noConversion"/>
  </si>
  <si>
    <t>项目</t>
    <phoneticPr fontId="4" type="noConversion"/>
  </si>
  <si>
    <t>私密仪器排毒6次</t>
    <phoneticPr fontId="4" type="noConversion"/>
  </si>
  <si>
    <t>赵琳琳</t>
    <phoneticPr fontId="4" type="noConversion"/>
  </si>
  <si>
    <t>丹兰店</t>
    <phoneticPr fontId="4" type="noConversion"/>
  </si>
  <si>
    <t>何虹</t>
    <phoneticPr fontId="4" type="noConversion"/>
  </si>
  <si>
    <t>产品</t>
    <phoneticPr fontId="4" type="noConversion"/>
  </si>
  <si>
    <t>聘可儿1套</t>
    <phoneticPr fontId="4" type="noConversion"/>
  </si>
  <si>
    <t>黄香兰</t>
    <phoneticPr fontId="4" type="noConversion"/>
  </si>
  <si>
    <t>杨露</t>
    <phoneticPr fontId="4" type="noConversion"/>
  </si>
  <si>
    <t>郭云群</t>
    <phoneticPr fontId="4" type="noConversion"/>
  </si>
  <si>
    <t>林维松</t>
    <phoneticPr fontId="4" type="noConversion"/>
  </si>
  <si>
    <t>紫愫店</t>
    <phoneticPr fontId="4" type="noConversion"/>
  </si>
  <si>
    <t>张梦婷</t>
    <phoneticPr fontId="4" type="noConversion"/>
  </si>
  <si>
    <t>多肽修复液6支</t>
    <phoneticPr fontId="4" type="noConversion"/>
  </si>
  <si>
    <t>陆娇果</t>
    <phoneticPr fontId="4" type="noConversion"/>
  </si>
  <si>
    <t>闭月羞花1套</t>
    <phoneticPr fontId="4" type="noConversion"/>
  </si>
  <si>
    <t>朱巧云</t>
    <phoneticPr fontId="4" type="noConversion"/>
  </si>
  <si>
    <t>排宫毒6次</t>
    <phoneticPr fontId="4" type="noConversion"/>
  </si>
  <si>
    <t>春漾年华2套</t>
    <phoneticPr fontId="4" type="noConversion"/>
  </si>
  <si>
    <t>分成</t>
  </si>
  <si>
    <t>门店占比</t>
  </si>
  <si>
    <t>公司占比</t>
  </si>
  <si>
    <t>（园区店、太仓店）</t>
  </si>
  <si>
    <t>赛香妃</t>
  </si>
  <si>
    <t>其他门店</t>
  </si>
  <si>
    <t>马雨菲</t>
    <phoneticPr fontId="4" type="noConversion"/>
  </si>
  <si>
    <t>排激毒3次</t>
    <phoneticPr fontId="4" type="noConversion"/>
  </si>
  <si>
    <t>洗液1组3支</t>
    <phoneticPr fontId="4" type="noConversion"/>
  </si>
  <si>
    <t>刘慧琳</t>
    <phoneticPr fontId="4" type="noConversion"/>
  </si>
  <si>
    <t>八杯霜、多肽修复液、明星霜</t>
    <phoneticPr fontId="4" type="noConversion"/>
  </si>
  <si>
    <t>2022年美蝶经营助力合作流水</t>
    <phoneticPr fontId="4" type="noConversion"/>
  </si>
  <si>
    <t>修复霜，修复水</t>
    <phoneticPr fontId="3" type="noConversion"/>
  </si>
  <si>
    <t>面部调理6次</t>
    <phoneticPr fontId="3" type="noConversion"/>
  </si>
  <si>
    <t>何梦婷</t>
    <phoneticPr fontId="4" type="noConversion"/>
  </si>
  <si>
    <t>修复水，神仙水，明星霜，洁面乳，菊花水</t>
    <phoneticPr fontId="3" type="noConversion"/>
  </si>
  <si>
    <t>活动编号</t>
    <phoneticPr fontId="4" type="noConversion"/>
  </si>
  <si>
    <t>孙童</t>
    <phoneticPr fontId="4" type="noConversion"/>
  </si>
  <si>
    <t>面部调理6次</t>
    <phoneticPr fontId="4" type="noConversion"/>
  </si>
  <si>
    <t>熊丝丝</t>
    <phoneticPr fontId="4" type="noConversion"/>
  </si>
  <si>
    <t>修复水、修复霜、明星霜</t>
    <phoneticPr fontId="4" type="noConversion"/>
  </si>
  <si>
    <t>张燕</t>
    <phoneticPr fontId="4" type="noConversion"/>
  </si>
  <si>
    <t>宫颈糜烂套盒</t>
    <phoneticPr fontId="4" type="noConversion"/>
  </si>
  <si>
    <t>薛蜜</t>
    <phoneticPr fontId="4" type="noConversion"/>
  </si>
  <si>
    <t>叶桃</t>
    <phoneticPr fontId="4" type="noConversion"/>
  </si>
  <si>
    <t>春漾年华1套+宫颈糜烂3盒</t>
    <phoneticPr fontId="4" type="noConversion"/>
  </si>
  <si>
    <t>费雅婷</t>
    <phoneticPr fontId="4" type="noConversion"/>
  </si>
  <si>
    <t>充值</t>
    <phoneticPr fontId="4" type="noConversion"/>
  </si>
  <si>
    <t>神仙水2支、洗面奶1支、明星霜修复霜1支</t>
    <phoneticPr fontId="4" type="noConversion"/>
  </si>
  <si>
    <t>王春芳</t>
    <phoneticPr fontId="4" type="noConversion"/>
  </si>
  <si>
    <t>排宫毒1次</t>
    <phoneticPr fontId="4" type="noConversion"/>
  </si>
  <si>
    <t>神仙水1支、洗面奶1支、明星霜1支、修复霜1支、八杯霜1支、痘水干股1支</t>
    <phoneticPr fontId="4" type="noConversion"/>
  </si>
  <si>
    <t>充值卡余额</t>
    <phoneticPr fontId="4" type="noConversion"/>
  </si>
  <si>
    <t>奚晴雯</t>
    <phoneticPr fontId="4" type="noConversion"/>
  </si>
  <si>
    <t>张梦娟</t>
    <phoneticPr fontId="4" type="noConversion"/>
  </si>
  <si>
    <t>退款</t>
    <phoneticPr fontId="4" type="noConversion"/>
  </si>
  <si>
    <t>编号：4退款</t>
    <phoneticPr fontId="4" type="noConversion"/>
  </si>
  <si>
    <t>朱丽芳</t>
    <phoneticPr fontId="4" type="noConversion"/>
  </si>
  <si>
    <t>春漾年华10支</t>
    <phoneticPr fontId="4" type="noConversion"/>
  </si>
  <si>
    <t>私密抵抗力</t>
    <phoneticPr fontId="11" type="noConversion"/>
  </si>
  <si>
    <t>排宫毒3次</t>
    <phoneticPr fontId="11" type="noConversion"/>
  </si>
  <si>
    <t>幸运夫人洗液2支</t>
    <phoneticPr fontId="11" type="noConversion"/>
  </si>
  <si>
    <t>私密仪器排毒3次</t>
    <phoneticPr fontId="11" type="noConversion"/>
  </si>
  <si>
    <t>明星霜八倍霜逗水</t>
    <phoneticPr fontId="11" type="noConversion"/>
  </si>
  <si>
    <t>明星霜八杯霜痘水</t>
    <phoneticPr fontId="11" type="noConversion"/>
  </si>
  <si>
    <t>祛痘排激毒调理6次</t>
    <phoneticPr fontId="11" type="noConversion"/>
  </si>
  <si>
    <t>神仙水1支洗面奶明星霜修复霜八杯霜痘水干股各一支</t>
    <phoneticPr fontId="11" type="noConversion"/>
  </si>
  <si>
    <t>充值卡余额</t>
    <phoneticPr fontId="11" type="noConversion"/>
  </si>
  <si>
    <t>神仙水2支洗面奶明星霜修复霜各一支</t>
    <phoneticPr fontId="11" type="noConversion"/>
  </si>
  <si>
    <t>面部调理6次</t>
    <phoneticPr fontId="11" type="noConversion"/>
  </si>
  <si>
    <t>春漾年华一套+宫颈糜烂3盒</t>
    <phoneticPr fontId="11" type="noConversion"/>
  </si>
  <si>
    <t>张燕（产品）</t>
    <phoneticPr fontId="11" type="noConversion"/>
  </si>
  <si>
    <t>神仙水，明星霜</t>
    <phoneticPr fontId="11" type="noConversion"/>
  </si>
  <si>
    <t>王向南</t>
    <phoneticPr fontId="11" type="noConversion"/>
  </si>
  <si>
    <t>消费名目</t>
    <phoneticPr fontId="4" type="noConversion"/>
  </si>
  <si>
    <t>多肰液2支、隔离1支</t>
    <phoneticPr fontId="4" type="noConversion"/>
  </si>
  <si>
    <t>张洁</t>
    <phoneticPr fontId="3" type="noConversion"/>
  </si>
  <si>
    <t>祛痘调理3次</t>
    <phoneticPr fontId="3" type="noConversion"/>
  </si>
  <si>
    <t>孙童</t>
    <phoneticPr fontId="3" type="noConversion"/>
  </si>
  <si>
    <t>3月5月项目还款</t>
    <phoneticPr fontId="4" type="noConversion"/>
  </si>
  <si>
    <t>还款</t>
    <phoneticPr fontId="4" type="noConversion"/>
  </si>
  <si>
    <t>马飞琼</t>
    <phoneticPr fontId="3" type="noConversion"/>
  </si>
  <si>
    <t>面部排激毒6次</t>
    <phoneticPr fontId="3" type="noConversion"/>
  </si>
  <si>
    <t>马静</t>
    <phoneticPr fontId="3" type="noConversion"/>
  </si>
  <si>
    <t>产品：水</t>
  </si>
  <si>
    <t>胡华</t>
    <phoneticPr fontId="3" type="noConversion"/>
  </si>
  <si>
    <t>产品（聘可儿3套）</t>
    <phoneticPr fontId="3" type="noConversion"/>
  </si>
  <si>
    <t>聘可儿3套</t>
    <phoneticPr fontId="4" type="noConversion"/>
  </si>
  <si>
    <t>相城嘉瑞丝</t>
    <phoneticPr fontId="3" type="noConversion"/>
  </si>
  <si>
    <t>奚晴雯</t>
    <phoneticPr fontId="3" type="noConversion"/>
  </si>
  <si>
    <t>洗面奶5支</t>
    <phoneticPr fontId="3" type="noConversion"/>
  </si>
  <si>
    <t>水5支</t>
    <phoneticPr fontId="3" type="noConversion"/>
  </si>
  <si>
    <t>洗液3支</t>
    <phoneticPr fontId="3" type="noConversion"/>
  </si>
  <si>
    <t>充值卡余额</t>
    <phoneticPr fontId="3" type="noConversion"/>
  </si>
  <si>
    <t>熊思思</t>
    <phoneticPr fontId="3" type="noConversion"/>
  </si>
  <si>
    <t>洗面奶1支</t>
    <phoneticPr fontId="3" type="noConversion"/>
  </si>
  <si>
    <t>水2支</t>
    <phoneticPr fontId="3" type="noConversion"/>
  </si>
  <si>
    <t>眼霜1支</t>
    <phoneticPr fontId="3" type="noConversion"/>
  </si>
  <si>
    <t>产品(八倍霜2支)</t>
    <phoneticPr fontId="3" type="noConversion"/>
  </si>
  <si>
    <t>八倍霜2支</t>
  </si>
  <si>
    <t>王向南</t>
    <phoneticPr fontId="3" type="noConversion"/>
  </si>
  <si>
    <t>沙楠</t>
    <phoneticPr fontId="3" type="noConversion"/>
  </si>
  <si>
    <t>排宫毒3次</t>
    <phoneticPr fontId="3" type="noConversion"/>
  </si>
  <si>
    <t>刘慧琳</t>
    <phoneticPr fontId="3" type="noConversion"/>
  </si>
  <si>
    <t>产品(多肽修复液1支乳液1支）</t>
    <phoneticPr fontId="3" type="noConversion"/>
  </si>
  <si>
    <t>多肽修复液1支乳液1支</t>
  </si>
  <si>
    <t>祛痘疗程6次</t>
    <phoneticPr fontId="3" type="noConversion"/>
  </si>
  <si>
    <t>产品(洗面奶1支）</t>
    <phoneticPr fontId="3" type="noConversion"/>
  </si>
  <si>
    <t>郑晓</t>
    <phoneticPr fontId="3" type="noConversion"/>
  </si>
  <si>
    <t>退卡项业绩</t>
    <phoneticPr fontId="3" type="noConversion"/>
  </si>
  <si>
    <t>徐亚杰</t>
  </si>
  <si>
    <t>春漾年华20支</t>
  </si>
  <si>
    <t>排宫毒</t>
  </si>
  <si>
    <t>多肽液6支、明星霜1支、乳液1支</t>
    <phoneticPr fontId="4" type="noConversion"/>
  </si>
  <si>
    <t>第15号，3月31日</t>
    <phoneticPr fontId="4" type="noConversion"/>
  </si>
  <si>
    <t>周艳秋</t>
    <phoneticPr fontId="4" type="noConversion"/>
  </si>
  <si>
    <t>沙楠</t>
    <phoneticPr fontId="4" type="noConversion"/>
  </si>
  <si>
    <t>第12号，3月14日</t>
    <phoneticPr fontId="4" type="noConversion"/>
  </si>
  <si>
    <t>郑金香</t>
    <phoneticPr fontId="4" type="noConversion"/>
  </si>
  <si>
    <t>幸运夫人洗液1支</t>
    <phoneticPr fontId="4" type="noConversion"/>
  </si>
  <si>
    <t>王娜</t>
    <phoneticPr fontId="4" type="noConversion"/>
  </si>
  <si>
    <t>排宫毒3次</t>
    <phoneticPr fontId="4" type="noConversion"/>
  </si>
  <si>
    <t>毛清姿</t>
    <phoneticPr fontId="4" type="noConversion"/>
  </si>
  <si>
    <t>排宫毒4次</t>
    <phoneticPr fontId="4" type="noConversion"/>
  </si>
  <si>
    <t>林燕</t>
    <phoneticPr fontId="4" type="noConversion"/>
  </si>
  <si>
    <t>发票已开</t>
    <phoneticPr fontId="4" type="noConversion"/>
  </si>
  <si>
    <t>林总</t>
    <phoneticPr fontId="4" type="noConversion"/>
  </si>
  <si>
    <t>刘总监</t>
    <phoneticPr fontId="4" type="noConversion"/>
  </si>
  <si>
    <t>秀媛堂</t>
  </si>
  <si>
    <t>美蝶简易利润表</t>
  </si>
  <si>
    <t xml:space="preserve">月份  其它  </t>
  </si>
  <si>
    <t>收入</t>
  </si>
  <si>
    <t>支出</t>
  </si>
  <si>
    <t>利润</t>
  </si>
  <si>
    <t>本月结余</t>
  </si>
  <si>
    <t>欠林总</t>
  </si>
  <si>
    <t>林对私收款</t>
  </si>
  <si>
    <t>工资及社保</t>
  </si>
  <si>
    <t>费用</t>
  </si>
  <si>
    <t>公</t>
  </si>
  <si>
    <t>私</t>
  </si>
  <si>
    <t>美经宝收入</t>
  </si>
  <si>
    <t>已付工资社保及福利</t>
  </si>
  <si>
    <t>待付工资</t>
  </si>
  <si>
    <t>产品及运费</t>
  </si>
  <si>
    <t>招聘</t>
  </si>
  <si>
    <t>会议及宣传物料等</t>
  </si>
  <si>
    <t>美经宝、商标及管网及公众号代运营</t>
  </si>
  <si>
    <t>日常办公</t>
  </si>
  <si>
    <t>利息</t>
  </si>
  <si>
    <t>对私</t>
  </si>
  <si>
    <t>招商及工商</t>
  </si>
  <si>
    <t>对公</t>
  </si>
  <si>
    <t>合计</t>
    <phoneticPr fontId="3" type="noConversion"/>
  </si>
  <si>
    <t>2020结转</t>
  </si>
  <si>
    <t>林总个人借杨经理35万</t>
  </si>
  <si>
    <t>2021合计</t>
  </si>
  <si>
    <t>总计</t>
  </si>
  <si>
    <t>对公 56042.11     对私26425.88      整体合计82467.99</t>
    <phoneticPr fontId="3" type="noConversion"/>
  </si>
  <si>
    <t>2020年度工资留存情况</t>
  </si>
  <si>
    <t>2021年度工资留存情况</t>
  </si>
  <si>
    <t>姓名</t>
  </si>
  <si>
    <t>留存金额</t>
  </si>
  <si>
    <t>开始时间</t>
  </si>
  <si>
    <t>结束月份</t>
  </si>
  <si>
    <t>留存月数</t>
  </si>
  <si>
    <t>共计</t>
  </si>
  <si>
    <t>徐银</t>
  </si>
  <si>
    <t>20.08.01</t>
  </si>
  <si>
    <t>20.12.31</t>
  </si>
  <si>
    <t>21.01.01</t>
  </si>
  <si>
    <t>21.07.31</t>
  </si>
  <si>
    <t>2月无留存</t>
  </si>
  <si>
    <t>乔玲</t>
  </si>
  <si>
    <t>已结清</t>
  </si>
  <si>
    <t>21.03.01</t>
  </si>
  <si>
    <t>1月份留存1.6万已结清</t>
  </si>
  <si>
    <t>徐咪</t>
  </si>
  <si>
    <t>20.09.01</t>
  </si>
  <si>
    <t>21.08.31</t>
  </si>
  <si>
    <t>6月请假无留存</t>
  </si>
  <si>
    <t>徐飚</t>
  </si>
  <si>
    <t>姚玲</t>
  </si>
  <si>
    <t>缪成武</t>
  </si>
  <si>
    <t>张亚运</t>
  </si>
  <si>
    <t>刘慧</t>
  </si>
  <si>
    <t>留存合计28.8万</t>
  </si>
  <si>
    <t>美蝶财务报表</t>
    <phoneticPr fontId="3" type="noConversion"/>
  </si>
  <si>
    <t>已付工资社保及福利</t>
    <phoneticPr fontId="3" type="noConversion"/>
  </si>
  <si>
    <t>对私工资</t>
    <phoneticPr fontId="3" type="noConversion"/>
  </si>
  <si>
    <t>工行手续费</t>
    <phoneticPr fontId="3" type="noConversion"/>
  </si>
  <si>
    <t>招行手续费</t>
    <phoneticPr fontId="3" type="noConversion"/>
  </si>
  <si>
    <t>浙商利息</t>
    <phoneticPr fontId="3" type="noConversion"/>
  </si>
  <si>
    <t>开发</t>
    <phoneticPr fontId="3" type="noConversion"/>
  </si>
  <si>
    <t>差旅</t>
    <phoneticPr fontId="3" type="noConversion"/>
  </si>
  <si>
    <t>退款</t>
    <phoneticPr fontId="3" type="noConversion"/>
  </si>
  <si>
    <t>对私</t>
    <phoneticPr fontId="3" type="noConversion"/>
  </si>
  <si>
    <t>累计</t>
    <phoneticPr fontId="3" type="noConversion"/>
  </si>
  <si>
    <r>
      <t>202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结转</t>
    </r>
    <phoneticPr fontId="3" type="noConversion"/>
  </si>
  <si>
    <r>
      <t>202</t>
    </r>
    <r>
      <rPr>
        <sz val="12"/>
        <rFont val="微软雅黑"/>
        <family val="2"/>
        <charset val="134"/>
      </rPr>
      <t>2</t>
    </r>
    <r>
      <rPr>
        <sz val="12"/>
        <rFont val="微软雅黑"/>
        <family val="2"/>
        <charset val="134"/>
      </rPr>
      <t>合计</t>
    </r>
    <phoneticPr fontId="3" type="noConversion"/>
  </si>
  <si>
    <t>美蝶月流水表</t>
    <phoneticPr fontId="3" type="noConversion"/>
  </si>
  <si>
    <t>对公备用金</t>
    <phoneticPr fontId="3" type="noConversion"/>
  </si>
  <si>
    <t>对私备用金</t>
    <phoneticPr fontId="3" type="noConversion"/>
  </si>
  <si>
    <t>备用金总结余</t>
    <phoneticPr fontId="3" type="noConversion"/>
  </si>
  <si>
    <t>工商银行</t>
    <phoneticPr fontId="3" type="noConversion"/>
  </si>
  <si>
    <t>招商银行</t>
    <phoneticPr fontId="3" type="noConversion"/>
  </si>
  <si>
    <t>浙商银行</t>
    <phoneticPr fontId="3" type="noConversion"/>
  </si>
  <si>
    <t>银行账户总余额</t>
    <phoneticPr fontId="3" type="noConversion"/>
  </si>
  <si>
    <t>收入</t>
    <phoneticPr fontId="3" type="noConversion"/>
  </si>
  <si>
    <t>支出</t>
    <phoneticPr fontId="3" type="noConversion"/>
  </si>
  <si>
    <t>当月结余</t>
    <phoneticPr fontId="3" type="noConversion"/>
  </si>
  <si>
    <t>2022费用支出记录表</t>
  </si>
  <si>
    <t>费用类型：0-其他；1-房租物业；2-设备；3-餐费；4-办公费；5-招聘；6-津贴、补贴；7-产品；8-易耗品；9-差旅</t>
    <phoneticPr fontId="3" type="noConversion"/>
  </si>
  <si>
    <t>是否报销：1-是；0-否</t>
  </si>
  <si>
    <t>年份：2022年</t>
  </si>
  <si>
    <t>有发票</t>
  </si>
  <si>
    <t>无发票</t>
  </si>
  <si>
    <t>日</t>
  </si>
  <si>
    <t>负责人</t>
  </si>
  <si>
    <t>项目</t>
  </si>
  <si>
    <t>金额</t>
  </si>
  <si>
    <t>费用类型</t>
  </si>
  <si>
    <t>是否报销</t>
    <phoneticPr fontId="3" type="noConversion"/>
  </si>
  <si>
    <t>对公转填1</t>
  </si>
  <si>
    <t>月份</t>
  </si>
  <si>
    <t>是否报销</t>
  </si>
  <si>
    <t>餐费</t>
  </si>
  <si>
    <t>胡必林</t>
  </si>
  <si>
    <t>易损易耗、加油、伙食费</t>
  </si>
  <si>
    <t>张利锋</t>
  </si>
  <si>
    <t>软件开发商对接工作午餐</t>
  </si>
  <si>
    <t>快递费</t>
  </si>
  <si>
    <t>油费</t>
  </si>
  <si>
    <t>胶带</t>
  </si>
  <si>
    <t>住宿费</t>
  </si>
  <si>
    <t>停车费</t>
  </si>
  <si>
    <t>杨滢</t>
  </si>
  <si>
    <t>交通费</t>
  </si>
  <si>
    <t>杨滢</t>
    <phoneticPr fontId="3" type="noConversion"/>
  </si>
  <si>
    <t>运费</t>
    <phoneticPr fontId="3" type="noConversion"/>
  </si>
  <si>
    <t>姚玲</t>
    <phoneticPr fontId="3" type="noConversion"/>
  </si>
  <si>
    <t>洗液</t>
    <phoneticPr fontId="3" type="noConversion"/>
  </si>
  <si>
    <t>缪成武</t>
    <phoneticPr fontId="3" type="noConversion"/>
  </si>
  <si>
    <t>数据线、彩印墨水、硒鼓</t>
    <phoneticPr fontId="3" type="noConversion"/>
  </si>
  <si>
    <t>-</t>
    <phoneticPr fontId="3" type="noConversion"/>
  </si>
  <si>
    <t>胡必林</t>
    <phoneticPr fontId="3" type="noConversion"/>
  </si>
  <si>
    <t>油费、车费、餐费</t>
    <phoneticPr fontId="3" type="noConversion"/>
  </si>
  <si>
    <t>红月亮产品</t>
    <phoneticPr fontId="3" type="noConversion"/>
  </si>
  <si>
    <t>手机换电池</t>
    <phoneticPr fontId="3" type="noConversion"/>
  </si>
  <si>
    <t>加油、停车</t>
    <phoneticPr fontId="3" type="noConversion"/>
  </si>
  <si>
    <t>1月出差、路费等</t>
    <phoneticPr fontId="3" type="noConversion"/>
  </si>
  <si>
    <t>平板</t>
    <phoneticPr fontId="3" type="noConversion"/>
  </si>
  <si>
    <t>周洁</t>
    <phoneticPr fontId="3" type="noConversion"/>
  </si>
  <si>
    <t>电话费充值</t>
    <phoneticPr fontId="3" type="noConversion"/>
  </si>
  <si>
    <t>餐费</t>
    <phoneticPr fontId="3" type="noConversion"/>
  </si>
  <si>
    <t>易损易耗</t>
    <phoneticPr fontId="3" type="noConversion"/>
  </si>
  <si>
    <t>加油</t>
    <phoneticPr fontId="3" type="noConversion"/>
  </si>
  <si>
    <t>快递</t>
    <phoneticPr fontId="3" type="noConversion"/>
  </si>
  <si>
    <t>换水票</t>
    <phoneticPr fontId="3" type="noConversion"/>
  </si>
  <si>
    <t>电话费</t>
    <phoneticPr fontId="3" type="noConversion"/>
  </si>
  <si>
    <t>办公用品</t>
    <phoneticPr fontId="3" type="noConversion"/>
  </si>
  <si>
    <t>购买产品</t>
    <phoneticPr fontId="3" type="noConversion"/>
  </si>
  <si>
    <t>娉可儿产品</t>
    <phoneticPr fontId="3" type="noConversion"/>
  </si>
  <si>
    <t>预充值</t>
  </si>
  <si>
    <t>煜航产品</t>
    <phoneticPr fontId="3" type="noConversion"/>
  </si>
  <si>
    <t>未开</t>
    <phoneticPr fontId="3" type="noConversion"/>
  </si>
  <si>
    <t>傲兰产品</t>
    <phoneticPr fontId="3" type="noConversion"/>
  </si>
  <si>
    <t>自己找票抵</t>
    <phoneticPr fontId="3" type="noConversion"/>
  </si>
  <si>
    <t>奥菲开票税点</t>
    <phoneticPr fontId="3" type="noConversion"/>
  </si>
  <si>
    <t>收据</t>
    <phoneticPr fontId="3" type="noConversion"/>
  </si>
  <si>
    <t>韵诗产品</t>
    <phoneticPr fontId="3" type="noConversion"/>
  </si>
  <si>
    <t>阿里云服务器</t>
    <phoneticPr fontId="3" type="noConversion"/>
  </si>
  <si>
    <t>饮料</t>
    <phoneticPr fontId="3" type="noConversion"/>
  </si>
  <si>
    <t>枸杞、胎菊等</t>
    <phoneticPr fontId="3" type="noConversion"/>
  </si>
  <si>
    <t>域名证书</t>
    <phoneticPr fontId="3" type="noConversion"/>
  </si>
  <si>
    <t>A4纸</t>
    <phoneticPr fontId="3" type="noConversion"/>
  </si>
  <si>
    <t>阿里云充值</t>
    <phoneticPr fontId="3" type="noConversion"/>
  </si>
  <si>
    <t>团建</t>
    <phoneticPr fontId="3" type="noConversion"/>
  </si>
  <si>
    <t>刘英姿</t>
    <phoneticPr fontId="3" type="noConversion"/>
  </si>
  <si>
    <t>油费</t>
    <phoneticPr fontId="3" type="noConversion"/>
  </si>
  <si>
    <t>电费</t>
    <phoneticPr fontId="3" type="noConversion"/>
  </si>
  <si>
    <t>话费</t>
    <phoneticPr fontId="3" type="noConversion"/>
  </si>
  <si>
    <t>赛香妃</t>
    <phoneticPr fontId="4" type="noConversion"/>
  </si>
  <si>
    <t>储海燕</t>
    <phoneticPr fontId="4" type="noConversion"/>
  </si>
  <si>
    <t>蒋清</t>
    <phoneticPr fontId="4" type="noConversion"/>
  </si>
  <si>
    <t>宋小琴</t>
    <phoneticPr fontId="4" type="noConversion"/>
  </si>
  <si>
    <t>洗液1组</t>
    <phoneticPr fontId="4" type="noConversion"/>
  </si>
  <si>
    <t>郭秀兰</t>
    <phoneticPr fontId="4" type="noConversion"/>
  </si>
  <si>
    <t>梁佳清</t>
    <phoneticPr fontId="4" type="noConversion"/>
  </si>
  <si>
    <t>排宫毒6次，送闭月羞花一套</t>
    <phoneticPr fontId="4" type="noConversion"/>
  </si>
  <si>
    <t>朱爱兰</t>
    <phoneticPr fontId="4" type="noConversion"/>
  </si>
  <si>
    <t>私密仪器排毒6次19800,排宫毒单次2980</t>
    <phoneticPr fontId="4" type="noConversion"/>
  </si>
  <si>
    <t>孙正花</t>
    <phoneticPr fontId="4" type="noConversion"/>
  </si>
  <si>
    <t>臭氧凝胶20支</t>
    <phoneticPr fontId="4" type="noConversion"/>
  </si>
  <si>
    <t>蒋丽萍</t>
    <phoneticPr fontId="4" type="noConversion"/>
  </si>
  <si>
    <t>丁益萍</t>
    <phoneticPr fontId="4" type="noConversion"/>
  </si>
  <si>
    <t>丁建娟</t>
  </si>
  <si>
    <t>私密仪器排毒3次</t>
    <phoneticPr fontId="4" type="noConversion"/>
  </si>
  <si>
    <t>蒋菊娣</t>
    <phoneticPr fontId="4" type="noConversion"/>
  </si>
  <si>
    <t>排宫毒单次</t>
    <phoneticPr fontId="4" type="noConversion"/>
  </si>
  <si>
    <t>荣宁宁</t>
    <phoneticPr fontId="4" type="noConversion"/>
  </si>
  <si>
    <t>排激毒6次</t>
    <phoneticPr fontId="4" type="noConversion"/>
  </si>
  <si>
    <t>背部痘痘疗程6次</t>
    <phoneticPr fontId="4" type="noConversion"/>
  </si>
  <si>
    <t>聘可儿一套</t>
    <phoneticPr fontId="4" type="noConversion"/>
  </si>
  <si>
    <t>柏雨昕</t>
    <phoneticPr fontId="4" type="noConversion"/>
  </si>
  <si>
    <t>痘痘疗程3次</t>
    <phoneticPr fontId="4" type="noConversion"/>
  </si>
  <si>
    <t>植物医生</t>
    <phoneticPr fontId="4" type="noConversion"/>
  </si>
  <si>
    <t>庄静</t>
    <phoneticPr fontId="4" type="noConversion"/>
  </si>
  <si>
    <t>熊思思</t>
    <phoneticPr fontId="4" type="noConversion"/>
  </si>
  <si>
    <t>充值10000,余1620</t>
    <phoneticPr fontId="4" type="noConversion"/>
  </si>
  <si>
    <t>侯显辉</t>
    <phoneticPr fontId="4" type="noConversion"/>
  </si>
  <si>
    <t>张艳</t>
    <phoneticPr fontId="4" type="noConversion"/>
  </si>
  <si>
    <t>排宫毒2次</t>
    <phoneticPr fontId="4" type="noConversion"/>
  </si>
  <si>
    <t>薛密</t>
    <phoneticPr fontId="4" type="noConversion"/>
  </si>
  <si>
    <t>林大姐</t>
    <phoneticPr fontId="4" type="noConversion"/>
  </si>
  <si>
    <t>包银兰</t>
    <phoneticPr fontId="4" type="noConversion"/>
  </si>
  <si>
    <t>对私不开发票</t>
    <phoneticPr fontId="4" type="noConversion"/>
  </si>
  <si>
    <t>**</t>
    <phoneticPr fontId="4" type="noConversion"/>
  </si>
  <si>
    <t>娉可儿2套</t>
    <phoneticPr fontId="4" type="noConversion"/>
  </si>
  <si>
    <t>周彩霞</t>
    <phoneticPr fontId="4" type="noConversion"/>
  </si>
  <si>
    <t>丁丽华</t>
    <phoneticPr fontId="4" type="noConversion"/>
  </si>
  <si>
    <t>宋海花</t>
    <phoneticPr fontId="4" type="noConversion"/>
  </si>
  <si>
    <t>马丽娟</t>
    <phoneticPr fontId="4" type="noConversion"/>
  </si>
  <si>
    <t>顾桢</t>
    <phoneticPr fontId="4" type="noConversion"/>
  </si>
  <si>
    <t>私密卡3次</t>
    <phoneticPr fontId="4" type="noConversion"/>
  </si>
  <si>
    <t>刘华菊</t>
    <phoneticPr fontId="4" type="noConversion"/>
  </si>
  <si>
    <t>曹秋华</t>
    <phoneticPr fontId="4" type="noConversion"/>
  </si>
  <si>
    <t>王赵花</t>
    <phoneticPr fontId="4" type="noConversion"/>
  </si>
  <si>
    <t>私密仪器排毒2次</t>
    <phoneticPr fontId="4" type="noConversion"/>
  </si>
  <si>
    <t>崔菊花</t>
    <phoneticPr fontId="4" type="noConversion"/>
  </si>
  <si>
    <t>私密仪器2次</t>
    <phoneticPr fontId="4" type="noConversion"/>
  </si>
  <si>
    <t>王勤芳</t>
    <phoneticPr fontId="4" type="noConversion"/>
  </si>
  <si>
    <t>尹锡勤</t>
    <phoneticPr fontId="4" type="noConversion"/>
  </si>
  <si>
    <t>柏妮丝</t>
    <phoneticPr fontId="4" type="noConversion"/>
  </si>
  <si>
    <t>季竞</t>
    <phoneticPr fontId="4" type="noConversion"/>
  </si>
  <si>
    <t>闭月羞花买二送一</t>
    <phoneticPr fontId="4" type="noConversion"/>
  </si>
  <si>
    <t>张保江</t>
    <phoneticPr fontId="4" type="noConversion"/>
  </si>
  <si>
    <t>狄飞</t>
    <phoneticPr fontId="4" type="noConversion"/>
  </si>
  <si>
    <t>私密仪器排毒单次</t>
    <phoneticPr fontId="4" type="noConversion"/>
  </si>
  <si>
    <t>于青</t>
    <phoneticPr fontId="4" type="noConversion"/>
  </si>
  <si>
    <t>李剑英</t>
    <phoneticPr fontId="4" type="noConversion"/>
  </si>
  <si>
    <t>徐花</t>
    <phoneticPr fontId="4" type="noConversion"/>
  </si>
  <si>
    <t>宋文俊</t>
    <phoneticPr fontId="4" type="noConversion"/>
  </si>
  <si>
    <t>微信</t>
    <phoneticPr fontId="4" type="noConversion"/>
  </si>
  <si>
    <t>洗液2支</t>
    <phoneticPr fontId="4" type="noConversion"/>
  </si>
  <si>
    <t>洗液1支</t>
    <phoneticPr fontId="4" type="noConversion"/>
  </si>
  <si>
    <t>巧巧</t>
    <phoneticPr fontId="4" type="noConversion"/>
  </si>
  <si>
    <t>盛丹萍</t>
    <phoneticPr fontId="4" type="noConversion"/>
  </si>
  <si>
    <t>蒋菊琴</t>
    <phoneticPr fontId="4" type="noConversion"/>
  </si>
  <si>
    <t>姚玲</t>
    <phoneticPr fontId="4" type="noConversion"/>
  </si>
  <si>
    <t>员工小文</t>
    <phoneticPr fontId="4" type="noConversion"/>
  </si>
  <si>
    <t>员工</t>
  </si>
  <si>
    <t>员工</t>
    <phoneticPr fontId="4" type="noConversion"/>
  </si>
  <si>
    <t>李青</t>
    <phoneticPr fontId="4" type="noConversion"/>
  </si>
  <si>
    <t>加速代谢6次3980，納囊1送1颗3980</t>
    <phoneticPr fontId="4" type="noConversion"/>
  </si>
  <si>
    <t>私密仪器排毒6次39800，修复6次送6次3980</t>
    <phoneticPr fontId="4" type="noConversion"/>
  </si>
  <si>
    <t>杨珊珊</t>
    <phoneticPr fontId="4" type="noConversion"/>
  </si>
  <si>
    <t>排宫毒单次6880，修复6送6次3980</t>
    <phoneticPr fontId="4" type="noConversion"/>
  </si>
  <si>
    <t>吕春花</t>
    <phoneticPr fontId="4" type="noConversion"/>
  </si>
  <si>
    <t>陈丽娟</t>
    <phoneticPr fontId="4" type="noConversion"/>
  </si>
  <si>
    <t>宗爱芳</t>
    <phoneticPr fontId="4" type="noConversion"/>
  </si>
  <si>
    <t>朱一君</t>
    <phoneticPr fontId="4" type="noConversion"/>
  </si>
  <si>
    <t>陈君</t>
    <phoneticPr fontId="4" type="noConversion"/>
  </si>
  <si>
    <t>易荷花</t>
    <phoneticPr fontId="4" type="noConversion"/>
  </si>
  <si>
    <t>陶菁</t>
    <phoneticPr fontId="4" type="noConversion"/>
  </si>
  <si>
    <t>南姿凝胶20支</t>
    <phoneticPr fontId="4" type="noConversion"/>
  </si>
  <si>
    <t>史红川</t>
    <phoneticPr fontId="4" type="noConversion"/>
  </si>
  <si>
    <t>王春梅</t>
    <phoneticPr fontId="4" type="noConversion"/>
  </si>
  <si>
    <t>孙文俊</t>
    <phoneticPr fontId="4" type="noConversion"/>
  </si>
  <si>
    <t>阴道壁激活3次</t>
    <phoneticPr fontId="4" type="noConversion"/>
  </si>
  <si>
    <t>孔维娟</t>
    <phoneticPr fontId="4" type="noConversion"/>
  </si>
  <si>
    <t>私密</t>
    <phoneticPr fontId="4" type="noConversion"/>
  </si>
  <si>
    <t>丁玲</t>
    <phoneticPr fontId="4" type="noConversion"/>
  </si>
  <si>
    <t>美丽</t>
    <phoneticPr fontId="4" type="noConversion"/>
  </si>
  <si>
    <t>张菊芳</t>
    <phoneticPr fontId="4" type="noConversion"/>
  </si>
  <si>
    <t>2022年1月21日收款</t>
    <phoneticPr fontId="4" type="noConversion"/>
  </si>
  <si>
    <t>--</t>
    <phoneticPr fontId="4" type="noConversion"/>
  </si>
  <si>
    <t>孟广凤</t>
    <phoneticPr fontId="4" type="noConversion"/>
  </si>
  <si>
    <t>胡必林</t>
    <phoneticPr fontId="4" type="noConversion"/>
  </si>
  <si>
    <t>6月26日还款：私密仪器排毒3次</t>
    <phoneticPr fontId="4" type="noConversion"/>
  </si>
  <si>
    <t>5月31日还款：排宫毒3次</t>
    <phoneticPr fontId="4" type="noConversion"/>
  </si>
  <si>
    <t>暂作退款</t>
    <phoneticPr fontId="4" type="noConversion"/>
  </si>
  <si>
    <t>6月4日退款：私密仪器排毒6次</t>
    <phoneticPr fontId="4" type="noConversion"/>
  </si>
  <si>
    <t>抬头</t>
    <phoneticPr fontId="3" type="noConversion"/>
  </si>
  <si>
    <t>总金额</t>
    <phoneticPr fontId="3" type="noConversion"/>
  </si>
  <si>
    <t>已开</t>
    <phoneticPr fontId="3" type="noConversion"/>
  </si>
  <si>
    <t>余</t>
    <phoneticPr fontId="3" type="noConversion"/>
  </si>
  <si>
    <t>陈芳</t>
    <phoneticPr fontId="4" type="noConversion"/>
  </si>
  <si>
    <t>嘉瑞思</t>
    <phoneticPr fontId="4" type="noConversion"/>
  </si>
  <si>
    <t>5月15日还款：闭月羞花调成南姿产品2盒</t>
    <phoneticPr fontId="4" type="noConversion"/>
  </si>
  <si>
    <t>调免疫力3次</t>
    <phoneticPr fontId="4" type="noConversion"/>
  </si>
  <si>
    <t>其他</t>
    <phoneticPr fontId="3" type="noConversion"/>
  </si>
  <si>
    <t>美经宝履约保证金</t>
    <phoneticPr fontId="3" type="noConversion"/>
  </si>
  <si>
    <t>产品、设备及运费</t>
    <phoneticPr fontId="3" type="noConversion"/>
  </si>
  <si>
    <t>邹晨</t>
    <phoneticPr fontId="4" type="noConversion"/>
  </si>
  <si>
    <t>私密仪器排毒6次39800+秒杀单次6880</t>
    <phoneticPr fontId="4" type="noConversion"/>
  </si>
  <si>
    <t>狄虹</t>
    <phoneticPr fontId="4" type="noConversion"/>
  </si>
  <si>
    <t>杨建华</t>
    <phoneticPr fontId="4" type="noConversion"/>
  </si>
  <si>
    <t>焦浩英</t>
    <phoneticPr fontId="4" type="noConversion"/>
  </si>
  <si>
    <t>刘爱华</t>
    <phoneticPr fontId="4" type="noConversion"/>
  </si>
  <si>
    <t>私密仪器排毒6次23800</t>
    <phoneticPr fontId="4" type="noConversion"/>
  </si>
  <si>
    <t>维纳斯3盒14800</t>
    <phoneticPr fontId="4" type="noConversion"/>
  </si>
  <si>
    <t>黄梅春</t>
    <phoneticPr fontId="4" type="noConversion"/>
  </si>
  <si>
    <t>崔群</t>
    <phoneticPr fontId="4" type="noConversion"/>
  </si>
  <si>
    <t>维纳斯6盒，送5支排宫毒内塞</t>
    <phoneticPr fontId="4" type="noConversion"/>
  </si>
  <si>
    <t>私密仪器排毒4次送3次修复药水</t>
    <phoneticPr fontId="4" type="noConversion"/>
  </si>
  <si>
    <t>排宫毒6次送3支加速代谢内塞</t>
    <phoneticPr fontId="4" type="noConversion"/>
  </si>
  <si>
    <t>宋群</t>
    <phoneticPr fontId="4" type="noConversion"/>
  </si>
  <si>
    <t>邢瑜</t>
    <phoneticPr fontId="4" type="noConversion"/>
  </si>
  <si>
    <t>私密仪器排毒6次29800,修复6+6次4980</t>
    <phoneticPr fontId="4" type="noConversion"/>
  </si>
  <si>
    <t>排宫毒10支6880</t>
    <phoneticPr fontId="4" type="noConversion"/>
  </si>
  <si>
    <t>明星霜1,八倍霜2</t>
    <phoneticPr fontId="4" type="noConversion"/>
  </si>
  <si>
    <t>李丽</t>
    <phoneticPr fontId="4" type="noConversion"/>
  </si>
  <si>
    <t>黄褐斑疗程/6次等</t>
    <phoneticPr fontId="4" type="noConversion"/>
  </si>
  <si>
    <t>马浙军</t>
    <phoneticPr fontId="4" type="noConversion"/>
  </si>
  <si>
    <t>老年斑疗程/6次等</t>
    <phoneticPr fontId="4" type="noConversion"/>
  </si>
  <si>
    <t>院装菊花水400ml</t>
    <phoneticPr fontId="4" type="noConversion"/>
  </si>
  <si>
    <t>朱美霞</t>
    <phoneticPr fontId="4" type="noConversion"/>
  </si>
  <si>
    <t>孙金花</t>
    <phoneticPr fontId="4" type="noConversion"/>
  </si>
  <si>
    <t>排宫毒单次送仪器修复一次</t>
    <phoneticPr fontId="4" type="noConversion"/>
  </si>
  <si>
    <t>雷成波</t>
    <phoneticPr fontId="4" type="noConversion"/>
  </si>
  <si>
    <t>孟娟</t>
    <phoneticPr fontId="4" type="noConversion"/>
  </si>
  <si>
    <t>排肌毒单次</t>
    <phoneticPr fontId="4" type="noConversion"/>
  </si>
  <si>
    <t>工资及社保</t>
    <phoneticPr fontId="3" type="noConversion"/>
  </si>
  <si>
    <t>优美时代</t>
    <phoneticPr fontId="4" type="noConversion"/>
  </si>
  <si>
    <t>郭金霞</t>
    <phoneticPr fontId="4" type="noConversion"/>
  </si>
  <si>
    <t>高秀梅</t>
    <phoneticPr fontId="4" type="noConversion"/>
  </si>
  <si>
    <t>唐文</t>
    <phoneticPr fontId="4" type="noConversion"/>
  </si>
  <si>
    <t>茆延</t>
    <phoneticPr fontId="4" type="noConversion"/>
  </si>
  <si>
    <t>排宫毒单次5900+仪器排毒单次4680</t>
    <phoneticPr fontId="4" type="noConversion"/>
  </si>
  <si>
    <t>张宝文</t>
    <phoneticPr fontId="4" type="noConversion"/>
  </si>
  <si>
    <t>杨守双</t>
    <phoneticPr fontId="4" type="noConversion"/>
  </si>
  <si>
    <t>刘新芳</t>
    <phoneticPr fontId="4" type="noConversion"/>
  </si>
  <si>
    <t>胡缘</t>
    <phoneticPr fontId="4" type="noConversion"/>
  </si>
  <si>
    <t>潘娟娟</t>
    <phoneticPr fontId="4" type="noConversion"/>
  </si>
  <si>
    <t>罗冬梅</t>
    <phoneticPr fontId="4" type="noConversion"/>
  </si>
  <si>
    <t>修复黏膜➕納囊</t>
    <phoneticPr fontId="4" type="noConversion"/>
  </si>
  <si>
    <t>排宫毒单次➕納囊1颗</t>
    <phoneticPr fontId="4" type="noConversion"/>
  </si>
  <si>
    <t>(排宫毒单次➕仪器排毒单次</t>
    <phoneticPr fontId="4" type="noConversion"/>
  </si>
  <si>
    <t>谭海明</t>
    <phoneticPr fontId="4" type="noConversion"/>
  </si>
  <si>
    <t>仪器排毒秒杀单次</t>
    <phoneticPr fontId="4" type="noConversion"/>
  </si>
  <si>
    <t>编号：36，私密仪器排毒6次</t>
    <phoneticPr fontId="4" type="noConversion"/>
  </si>
  <si>
    <t>姓名</t>
    <phoneticPr fontId="3" type="noConversion"/>
  </si>
  <si>
    <t>林维松</t>
    <phoneticPr fontId="3" type="noConversion"/>
  </si>
  <si>
    <t>岗位</t>
    <phoneticPr fontId="3" type="noConversion"/>
  </si>
  <si>
    <t>徐银</t>
    <phoneticPr fontId="3" type="noConversion"/>
  </si>
  <si>
    <t>余奕</t>
    <phoneticPr fontId="3" type="noConversion"/>
  </si>
  <si>
    <t>刘英资</t>
    <phoneticPr fontId="3" type="noConversion"/>
  </si>
  <si>
    <t>本科</t>
    <phoneticPr fontId="3" type="noConversion"/>
  </si>
  <si>
    <t>总经理</t>
    <phoneticPr fontId="3" type="noConversion"/>
  </si>
  <si>
    <t>学历</t>
    <phoneticPr fontId="3" type="noConversion"/>
  </si>
  <si>
    <t>执行董事</t>
    <phoneticPr fontId="3" type="noConversion"/>
  </si>
  <si>
    <t>美容导师</t>
    <phoneticPr fontId="3" type="noConversion"/>
  </si>
  <si>
    <t>营运副总经理、美容导师</t>
    <phoneticPr fontId="3" type="noConversion"/>
  </si>
  <si>
    <t>财务、行政经理、技术主管</t>
    <phoneticPr fontId="3" type="noConversion"/>
  </si>
  <si>
    <t>人资经理、技术主管</t>
    <phoneticPr fontId="3" type="noConversion"/>
  </si>
  <si>
    <t>私密仪器6次</t>
    <phoneticPr fontId="4" type="noConversion"/>
  </si>
  <si>
    <t>祝春兰</t>
    <phoneticPr fontId="4" type="noConversion"/>
  </si>
  <si>
    <t>单美娟</t>
    <phoneticPr fontId="4" type="noConversion"/>
  </si>
  <si>
    <t>易损易耗、生活费用</t>
    <phoneticPr fontId="3" type="noConversion"/>
  </si>
  <si>
    <t>赵倩</t>
    <phoneticPr fontId="3" type="noConversion"/>
  </si>
  <si>
    <t>餐饮</t>
    <phoneticPr fontId="3" type="noConversion"/>
  </si>
  <si>
    <t>菜、药水</t>
    <phoneticPr fontId="3" type="noConversion"/>
  </si>
  <si>
    <t>住宿、地铁</t>
    <phoneticPr fontId="3" type="noConversion"/>
  </si>
  <si>
    <t>培训老师路费</t>
    <phoneticPr fontId="3" type="noConversion"/>
  </si>
  <si>
    <t>快递、a4</t>
    <phoneticPr fontId="3" type="noConversion"/>
  </si>
  <si>
    <t>餐费、快递</t>
    <phoneticPr fontId="3" type="noConversion"/>
  </si>
  <si>
    <t>产品</t>
    <phoneticPr fontId="3" type="noConversion"/>
  </si>
  <si>
    <t>快递、餐费</t>
    <phoneticPr fontId="3" type="noConversion"/>
  </si>
  <si>
    <t>轮胎维修</t>
    <phoneticPr fontId="3" type="noConversion"/>
  </si>
  <si>
    <t>招待、餐费</t>
    <phoneticPr fontId="3" type="noConversion"/>
  </si>
  <si>
    <t>退款：7月19日私密仪器排毒3次</t>
    <phoneticPr fontId="4" type="noConversion"/>
  </si>
  <si>
    <t>康静静</t>
    <phoneticPr fontId="4" type="noConversion"/>
  </si>
  <si>
    <t>闭月羞花一套换臭氧20支补9000</t>
    <phoneticPr fontId="4" type="noConversion"/>
  </si>
  <si>
    <t>毛姿清</t>
    <phoneticPr fontId="4" type="noConversion"/>
  </si>
  <si>
    <t>仪器排毒6次</t>
    <phoneticPr fontId="4" type="noConversion"/>
  </si>
  <si>
    <t>植物医生</t>
    <phoneticPr fontId="3" type="noConversion"/>
  </si>
  <si>
    <t>缩阴丸一盒</t>
    <phoneticPr fontId="4" type="noConversion"/>
  </si>
  <si>
    <t>排宫毒6次59800</t>
    <phoneticPr fontId="4" type="noConversion"/>
  </si>
  <si>
    <t>洗液4支3980</t>
    <phoneticPr fontId="4" type="noConversion"/>
  </si>
  <si>
    <t>对方财务</t>
    <phoneticPr fontId="4" type="noConversion"/>
  </si>
  <si>
    <t>支付宝</t>
    <phoneticPr fontId="4" type="noConversion"/>
  </si>
  <si>
    <t>排宫毒单次3980,修复巩固两次9200</t>
    <phoneticPr fontId="4" type="noConversion"/>
  </si>
  <si>
    <t>马姐</t>
    <phoneticPr fontId="4" type="noConversion"/>
  </si>
  <si>
    <t>颧骨黄褐斑疗程/6次，送魔力水、客装祛斑霜各一支</t>
    <phoneticPr fontId="4" type="noConversion"/>
  </si>
  <si>
    <t>面部加速代谢/6次疗程39800</t>
    <phoneticPr fontId="4" type="noConversion"/>
  </si>
  <si>
    <t>菊花水院装、明星霜、保加利亚3支、水凝露一支客装</t>
    <phoneticPr fontId="4" type="noConversion"/>
  </si>
  <si>
    <t>于青共</t>
    <phoneticPr fontId="4" type="noConversion"/>
  </si>
  <si>
    <t>内环境4次6880，送4支内塞</t>
    <phoneticPr fontId="4" type="noConversion"/>
  </si>
  <si>
    <t>洗液一组1980</t>
    <phoneticPr fontId="4" type="noConversion"/>
  </si>
  <si>
    <t>回款3000</t>
    <phoneticPr fontId="4" type="noConversion"/>
  </si>
  <si>
    <t>孙霞</t>
    <phoneticPr fontId="4" type="noConversion"/>
  </si>
  <si>
    <t>杜小琴</t>
    <phoneticPr fontId="4" type="noConversion"/>
  </si>
  <si>
    <t>维纳斯3盒送2支</t>
    <phoneticPr fontId="4" type="noConversion"/>
  </si>
  <si>
    <t>王带伢</t>
    <phoneticPr fontId="4" type="noConversion"/>
  </si>
  <si>
    <t>仪器排毒3次</t>
    <phoneticPr fontId="4" type="noConversion"/>
  </si>
  <si>
    <t>维纳斯7盒，臭氧12支</t>
    <phoneticPr fontId="4" type="noConversion"/>
  </si>
  <si>
    <t>李小平</t>
    <phoneticPr fontId="4" type="noConversion"/>
  </si>
  <si>
    <t>项目+产品</t>
    <phoneticPr fontId="4" type="noConversion"/>
  </si>
  <si>
    <t>排宫毒6次+洗液一组</t>
    <phoneticPr fontId="4" type="noConversion"/>
  </si>
  <si>
    <t>排宫毒单次+维纳斯2盒</t>
    <phoneticPr fontId="4" type="noConversion"/>
  </si>
  <si>
    <t>排毒2次</t>
    <phoneticPr fontId="4" type="noConversion"/>
  </si>
  <si>
    <t>回款5000</t>
    <phoneticPr fontId="4" type="noConversion"/>
  </si>
  <si>
    <t>丁建娟</t>
    <phoneticPr fontId="4" type="noConversion"/>
  </si>
  <si>
    <t>回款6900</t>
    <phoneticPr fontId="4" type="noConversion"/>
  </si>
  <si>
    <t>周萍</t>
    <phoneticPr fontId="4" type="noConversion"/>
  </si>
  <si>
    <t>管秋瑾</t>
    <phoneticPr fontId="4" type="noConversion"/>
  </si>
  <si>
    <t>陈娟</t>
    <phoneticPr fontId="4" type="noConversion"/>
  </si>
  <si>
    <t>仪器排毒6次69800</t>
    <phoneticPr fontId="4" type="noConversion"/>
  </si>
  <si>
    <t>洗液一组3980</t>
    <phoneticPr fontId="4" type="noConversion"/>
  </si>
  <si>
    <t>招行</t>
    <phoneticPr fontId="4" type="noConversion"/>
  </si>
  <si>
    <t>卢秋瑾</t>
    <phoneticPr fontId="4" type="noConversion"/>
  </si>
  <si>
    <t>洗液一支</t>
    <phoneticPr fontId="4" type="noConversion"/>
  </si>
  <si>
    <t>维纳斯2盒</t>
    <phoneticPr fontId="4" type="noConversion"/>
  </si>
  <si>
    <t>于建峰</t>
    <phoneticPr fontId="4" type="noConversion"/>
  </si>
  <si>
    <t>方丽</t>
    <phoneticPr fontId="4" type="noConversion"/>
  </si>
  <si>
    <t>周锡光</t>
    <phoneticPr fontId="4" type="noConversion"/>
  </si>
  <si>
    <t>加速代谢2次</t>
    <phoneticPr fontId="4" type="noConversion"/>
  </si>
  <si>
    <t>沈青</t>
    <phoneticPr fontId="4" type="noConversion"/>
  </si>
  <si>
    <t>刘佃梅</t>
    <phoneticPr fontId="4" type="noConversion"/>
  </si>
  <si>
    <t>项目排宫毒6次</t>
    <phoneticPr fontId="4" type="noConversion"/>
  </si>
  <si>
    <t>8月7日仪器排毒6次，欠款还款</t>
    <phoneticPr fontId="4" type="noConversion"/>
  </si>
  <si>
    <t>书、名片、快递等</t>
    <phoneticPr fontId="3" type="noConversion"/>
  </si>
  <si>
    <t>产品、运费</t>
    <phoneticPr fontId="3" type="noConversion"/>
  </si>
  <si>
    <t>产品、花蓝</t>
    <phoneticPr fontId="3" type="noConversion"/>
  </si>
  <si>
    <t>芷城老师路费</t>
    <phoneticPr fontId="3" type="noConversion"/>
  </si>
  <si>
    <t>餐饮、交通、运费</t>
    <phoneticPr fontId="3" type="noConversion"/>
  </si>
  <si>
    <t>餐费、交通等</t>
    <phoneticPr fontId="3" type="noConversion"/>
  </si>
  <si>
    <t>返利</t>
    <phoneticPr fontId="3" type="noConversion"/>
  </si>
  <si>
    <t>排宫毒5次，送洗液一支</t>
    <phoneticPr fontId="4" type="noConversion"/>
  </si>
  <si>
    <t>对公</t>
    <phoneticPr fontId="3" type="noConversion"/>
  </si>
  <si>
    <t>林对私付款</t>
    <phoneticPr fontId="3" type="noConversion"/>
  </si>
  <si>
    <t>维纳斯3盒</t>
    <phoneticPr fontId="4" type="noConversion"/>
  </si>
  <si>
    <t>赵淑兰</t>
    <phoneticPr fontId="4" type="noConversion"/>
  </si>
  <si>
    <t>仪器调理6次</t>
    <phoneticPr fontId="4" type="noConversion"/>
  </si>
  <si>
    <t>缩阴丹二套</t>
    <phoneticPr fontId="4" type="noConversion"/>
  </si>
  <si>
    <t>林玉娟</t>
    <phoneticPr fontId="4" type="noConversion"/>
  </si>
  <si>
    <t>薛慧</t>
    <phoneticPr fontId="4" type="noConversion"/>
  </si>
  <si>
    <t>祛痘疗程/3次</t>
    <phoneticPr fontId="4" type="noConversion"/>
  </si>
  <si>
    <t>秀媛堂</t>
    <phoneticPr fontId="4" type="noConversion"/>
  </si>
  <si>
    <t>私密仪器</t>
    <phoneticPr fontId="4" type="noConversion"/>
  </si>
  <si>
    <t>刘华菊</t>
    <phoneticPr fontId="3" type="noConversion"/>
  </si>
  <si>
    <t>谭海明</t>
    <phoneticPr fontId="3" type="noConversion"/>
  </si>
  <si>
    <t>吴伟仙</t>
    <phoneticPr fontId="4" type="noConversion"/>
  </si>
  <si>
    <t>排宫毒5次➕秒杀6880</t>
    <phoneticPr fontId="4" type="noConversion"/>
  </si>
  <si>
    <t>吴囡</t>
    <phoneticPr fontId="4" type="noConversion"/>
  </si>
  <si>
    <t>排宫毒单次2980➕v道spa两次1480</t>
    <phoneticPr fontId="4" type="noConversion"/>
  </si>
  <si>
    <t>陆奕琪</t>
    <phoneticPr fontId="4" type="noConversion"/>
  </si>
  <si>
    <t>李莉</t>
    <phoneticPr fontId="4" type="noConversion"/>
  </si>
  <si>
    <t>魔力水2支</t>
    <phoneticPr fontId="4" type="noConversion"/>
  </si>
  <si>
    <t>洗液一组3980,家里3支慕斯洗液抵1080</t>
    <phoneticPr fontId="4" type="noConversion"/>
  </si>
  <si>
    <t>皮肤调理六次</t>
    <phoneticPr fontId="4" type="noConversion"/>
  </si>
  <si>
    <t>明星霜一支、菊花水院装一瓶，水凝露一支</t>
    <phoneticPr fontId="4" type="noConversion"/>
  </si>
  <si>
    <t>杜成英</t>
    <phoneticPr fontId="4" type="noConversion"/>
  </si>
  <si>
    <t>朱爱珍</t>
    <phoneticPr fontId="4" type="noConversion"/>
  </si>
  <si>
    <t>仪器调理</t>
    <phoneticPr fontId="4" type="noConversion"/>
  </si>
  <si>
    <t>徐丽萍</t>
    <phoneticPr fontId="4" type="noConversion"/>
  </si>
  <si>
    <t>回款13500</t>
    <phoneticPr fontId="4" type="noConversion"/>
  </si>
  <si>
    <t>孙丽</t>
    <phoneticPr fontId="4" type="noConversion"/>
  </si>
  <si>
    <t>v道spa4次</t>
    <phoneticPr fontId="4" type="noConversion"/>
  </si>
  <si>
    <t>排宫毒秒杀6880➕3次</t>
    <phoneticPr fontId="4" type="noConversion"/>
  </si>
  <si>
    <t>臭氧15支</t>
    <phoneticPr fontId="4" type="noConversion"/>
  </si>
  <si>
    <t>史彩虹</t>
    <phoneticPr fontId="4" type="noConversion"/>
  </si>
  <si>
    <t>洗液4支</t>
    <phoneticPr fontId="4" type="noConversion"/>
  </si>
  <si>
    <t>回款800</t>
    <phoneticPr fontId="4" type="noConversion"/>
  </si>
  <si>
    <t>陈利平</t>
    <phoneticPr fontId="4" type="noConversion"/>
  </si>
  <si>
    <t>宋莉</t>
    <phoneticPr fontId="4" type="noConversion"/>
  </si>
  <si>
    <t>回款16700</t>
    <phoneticPr fontId="4" type="noConversion"/>
  </si>
  <si>
    <t>预订</t>
    <phoneticPr fontId="4" type="noConversion"/>
  </si>
  <si>
    <t>订金1400</t>
    <phoneticPr fontId="4" type="noConversion"/>
  </si>
  <si>
    <t>维纳斯9支</t>
    <phoneticPr fontId="4" type="noConversion"/>
  </si>
  <si>
    <t>金园</t>
    <phoneticPr fontId="4" type="noConversion"/>
  </si>
  <si>
    <t>潘梨萍</t>
    <phoneticPr fontId="4" type="noConversion"/>
  </si>
  <si>
    <t>4次v道spa➕一次宫颈管</t>
    <phoneticPr fontId="4" type="noConversion"/>
  </si>
  <si>
    <t>回款17000</t>
    <phoneticPr fontId="4" type="noConversion"/>
  </si>
  <si>
    <t>陈秋琴</t>
    <phoneticPr fontId="4" type="noConversion"/>
  </si>
  <si>
    <t>项目（排宫毒单次），产品（维纳斯3支）</t>
    <phoneticPr fontId="4" type="noConversion"/>
  </si>
  <si>
    <t>韦林霞</t>
    <phoneticPr fontId="4" type="noConversion"/>
  </si>
  <si>
    <t>臭氧两组32支送4支</t>
    <phoneticPr fontId="4" type="noConversion"/>
  </si>
  <si>
    <t>排宫毒4次，送一支臭氧</t>
    <phoneticPr fontId="4" type="noConversion"/>
  </si>
  <si>
    <t>赵其</t>
    <phoneticPr fontId="4" type="noConversion"/>
  </si>
  <si>
    <t>加速代谢疗程/6次，送一组红颜知己套盒</t>
    <phoneticPr fontId="4" type="noConversion"/>
  </si>
  <si>
    <t>排宫毒/6次</t>
    <phoneticPr fontId="4" type="noConversion"/>
  </si>
  <si>
    <t>洗液一组</t>
    <phoneticPr fontId="4" type="noConversion"/>
  </si>
  <si>
    <t>孙映</t>
    <phoneticPr fontId="4" type="noConversion"/>
  </si>
  <si>
    <t>仪器排毒单次</t>
    <phoneticPr fontId="4" type="noConversion"/>
  </si>
  <si>
    <t>陈小波</t>
    <phoneticPr fontId="4" type="noConversion"/>
  </si>
  <si>
    <t>仪器调理3次</t>
    <phoneticPr fontId="4" type="noConversion"/>
  </si>
  <si>
    <t>陈桂梅</t>
    <phoneticPr fontId="4" type="noConversion"/>
  </si>
  <si>
    <t>溧阳市赛香妃美容有限公司</t>
  </si>
  <si>
    <t>闭月羞花6支</t>
    <phoneticPr fontId="4" type="noConversion"/>
  </si>
  <si>
    <t>排肌毒三次9900，离子净化三次3980</t>
    <phoneticPr fontId="4" type="noConversion"/>
  </si>
  <si>
    <t>修复水、修复霜、明星霜各一支</t>
    <phoneticPr fontId="4" type="noConversion"/>
  </si>
  <si>
    <t>马哲军</t>
    <phoneticPr fontId="4" type="noConversion"/>
  </si>
  <si>
    <t>冻干粉一小支</t>
    <phoneticPr fontId="4" type="noConversion"/>
  </si>
  <si>
    <t>运费等</t>
    <phoneticPr fontId="3" type="noConversion"/>
  </si>
  <si>
    <t>易耗等</t>
    <phoneticPr fontId="3" type="noConversion"/>
  </si>
  <si>
    <t>宽带等</t>
    <phoneticPr fontId="3" type="noConversion"/>
  </si>
  <si>
    <t>摄像头</t>
    <phoneticPr fontId="3" type="noConversion"/>
  </si>
  <si>
    <t>月饼</t>
    <phoneticPr fontId="3" type="noConversion"/>
  </si>
  <si>
    <t>电费等</t>
    <phoneticPr fontId="3" type="noConversion"/>
  </si>
  <si>
    <t>餐费等</t>
    <phoneticPr fontId="3" type="noConversion"/>
  </si>
  <si>
    <t>门店</t>
    <phoneticPr fontId="4" type="noConversion"/>
  </si>
  <si>
    <t>相城店</t>
    <phoneticPr fontId="4" type="noConversion"/>
  </si>
  <si>
    <t>昆山店</t>
    <phoneticPr fontId="4" type="noConversion"/>
  </si>
  <si>
    <t>中南店</t>
    <phoneticPr fontId="4" type="noConversion"/>
  </si>
  <si>
    <t>俏世界</t>
    <phoneticPr fontId="4" type="noConversion"/>
  </si>
  <si>
    <t>宜兴店</t>
    <phoneticPr fontId="4" type="noConversion"/>
  </si>
  <si>
    <t>丹兰</t>
    <phoneticPr fontId="4" type="noConversion"/>
  </si>
  <si>
    <t>璞悦</t>
    <phoneticPr fontId="4" type="noConversion"/>
  </si>
  <si>
    <t>木渎店</t>
  </si>
  <si>
    <t>木渎店</t>
    <phoneticPr fontId="4" type="noConversion"/>
  </si>
  <si>
    <t>欧洁蔓</t>
    <phoneticPr fontId="4" type="noConversion"/>
  </si>
  <si>
    <t>吴江店</t>
    <phoneticPr fontId="4" type="noConversion"/>
  </si>
  <si>
    <t>6店</t>
  </si>
  <si>
    <t>6店</t>
    <phoneticPr fontId="4" type="noConversion"/>
  </si>
  <si>
    <t>4店</t>
  </si>
  <si>
    <t>1店</t>
  </si>
  <si>
    <t>5店</t>
  </si>
  <si>
    <t>2店</t>
  </si>
  <si>
    <t>3店</t>
  </si>
  <si>
    <t>4店</t>
    <phoneticPr fontId="4" type="noConversion"/>
  </si>
  <si>
    <t>1店</t>
    <phoneticPr fontId="4" type="noConversion"/>
  </si>
  <si>
    <t>5店</t>
    <phoneticPr fontId="4" type="noConversion"/>
  </si>
  <si>
    <t>8店</t>
  </si>
  <si>
    <t>7店</t>
  </si>
  <si>
    <t>云群</t>
    <phoneticPr fontId="4" type="noConversion"/>
  </si>
  <si>
    <t>无锡店</t>
    <phoneticPr fontId="4" type="noConversion"/>
  </si>
  <si>
    <t>辣妈</t>
    <phoneticPr fontId="4" type="noConversion"/>
  </si>
  <si>
    <t>美蝶</t>
  </si>
  <si>
    <t>是否对公</t>
    <phoneticPr fontId="4" type="noConversion"/>
  </si>
  <si>
    <t>账户类型</t>
    <phoneticPr fontId="4" type="noConversion"/>
  </si>
  <si>
    <t>工商银行</t>
    <phoneticPr fontId="4" type="noConversion"/>
  </si>
  <si>
    <t>欧洁蔓</t>
  </si>
  <si>
    <t>红颜知己3套➕洗液一组</t>
    <phoneticPr fontId="4" type="noConversion"/>
  </si>
  <si>
    <t>修复液6送6</t>
    <phoneticPr fontId="4" type="noConversion"/>
  </si>
  <si>
    <t>排宫毒34900/3次</t>
    <phoneticPr fontId="4" type="noConversion"/>
  </si>
  <si>
    <t>刘凤枝</t>
    <phoneticPr fontId="4" type="noConversion"/>
  </si>
  <si>
    <t>v道spa一次</t>
    <phoneticPr fontId="4" type="noConversion"/>
  </si>
  <si>
    <t>倪庆娥</t>
    <phoneticPr fontId="4" type="noConversion"/>
  </si>
  <si>
    <t>刘庭芬</t>
    <phoneticPr fontId="4" type="noConversion"/>
  </si>
  <si>
    <t>激活修复宫颈口</t>
    <phoneticPr fontId="4" type="noConversion"/>
  </si>
  <si>
    <t>其他</t>
    <phoneticPr fontId="4" type="noConversion"/>
  </si>
  <si>
    <t>员工兰兰排宫毒六次9900，闭月羞花一套1376。六只洗液600</t>
    <phoneticPr fontId="4" type="noConversion"/>
  </si>
  <si>
    <t>美蝶</t>
    <phoneticPr fontId="4" type="noConversion"/>
  </si>
  <si>
    <t>排宫毒2次，送v道spa1次</t>
    <phoneticPr fontId="4" type="noConversion"/>
  </si>
  <si>
    <t>赵燕</t>
    <phoneticPr fontId="4" type="noConversion"/>
  </si>
  <si>
    <t>排宫毒3次，送v道spa2次</t>
    <phoneticPr fontId="4" type="noConversion"/>
  </si>
  <si>
    <t>张亚君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</si>
</sst>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.00_ "/>
    <numFmt numFmtId="177" formatCode="m&quot;月&quot;d&quot;日&quot;;@"/>
    <numFmt numFmtId="178" formatCode="0.000_);[Red]\(0.000\)"/>
    <numFmt numFmtId="179" formatCode="0.00_ "/>
    <numFmt numFmtId="180" formatCode="0_ "/>
    <numFmt numFmtId="181" formatCode="\¥#,##0.00;\¥\-#,##0.00"/>
  </numFmts>
  <fonts count="42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12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2"/>
      <color rgb="FFFF0000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8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0"/>
      <name val="微软雅黑"/>
      <family val="2"/>
      <charset val="134"/>
    </font>
    <font>
      <sz val="8"/>
      <name val="微软雅黑"/>
      <family val="2"/>
      <charset val="134"/>
    </font>
    <font>
      <sz val="9"/>
      <color theme="1"/>
      <name val="等线"/>
      <family val="3"/>
      <charset val="134"/>
      <scheme val="minor"/>
    </font>
    <font>
      <sz val="16"/>
      <name val="微软雅黑"/>
      <family val="2"/>
      <charset val="134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6"/>
      <name val="微软雅黑"/>
      <family val="2"/>
      <charset val="134"/>
    </font>
    <font>
      <b/>
      <sz val="10"/>
      <name val="微软雅黑"/>
      <family val="2"/>
      <charset val="134"/>
    </font>
    <font>
      <b/>
      <sz val="9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rgb="FF000000"/>
      <name val="等线"/>
      <family val="3"/>
      <charset val="134"/>
      <scheme val="minor"/>
    </font>
    <font>
      <sz val="11"/>
      <color theme="4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4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7"/>
      <color rgb="FF666666"/>
      <name val="等线"/>
      <family val="3"/>
      <charset val="134"/>
      <scheme val="minor"/>
    </font>
    <font>
      <sz val="11"/>
      <name val="微软雅黑"/>
      <family val="2"/>
      <charset val="134"/>
    </font>
    <font>
      <sz val="11"/>
      <color theme="0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/>
      <diagonal style="thin">
        <color auto="1"/>
      </diagonal>
    </border>
    <border>
      <left/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 style="double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/>
      <top style="medium">
        <color auto="1"/>
      </top>
      <bottom/>
      <diagonal style="thin">
        <color auto="1"/>
      </diagonal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 diagonalDown="1">
      <left style="medium">
        <color auto="1"/>
      </left>
      <right/>
      <top/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 diagonalDown="1">
      <left style="medium">
        <color indexed="64"/>
      </left>
      <right/>
      <top/>
      <bottom style="medium">
        <color indexed="64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auto="1"/>
      </right>
      <top/>
      <bottom/>
      <diagonal style="thin">
        <color auto="1"/>
      </diagonal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ck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/>
      <bottom style="thin">
        <color auto="1"/>
      </bottom>
      <diagonal/>
    </border>
    <border diagonalDown="1">
      <left style="medium">
        <color indexed="64"/>
      </left>
      <right style="medium">
        <color auto="1"/>
      </right>
      <top/>
      <bottom style="thin">
        <color indexed="64"/>
      </bottom>
      <diagonal style="thin">
        <color auto="1"/>
      </diagonal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double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auto="1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 style="medium">
        <color indexed="64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medium">
        <color indexed="64"/>
      </top>
      <bottom/>
      <diagonal/>
    </border>
    <border>
      <left style="double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rgb="FFE9E9E9"/>
      </left>
      <right style="medium">
        <color rgb="FFE9E9E9"/>
      </right>
      <top style="medium">
        <color rgb="FFE9E9E9"/>
      </top>
      <bottom style="medium">
        <color rgb="FFE9E9E9"/>
      </bottom>
      <diagonal/>
    </border>
    <border>
      <left style="medium">
        <color rgb="FFE6E6E6"/>
      </left>
      <right style="medium">
        <color rgb="FFE9E9E9"/>
      </right>
      <top style="medium">
        <color rgb="FFE9E9E9"/>
      </top>
      <bottom style="medium">
        <color rgb="FFE9E9E9"/>
      </bottom>
      <diagonal/>
    </border>
    <border>
      <left/>
      <right/>
      <top style="medium">
        <color rgb="FFE9E9E9"/>
      </top>
      <bottom/>
      <diagonal/>
    </border>
    <border>
      <left/>
      <right style="medium">
        <color rgb="FFE9E9E9"/>
      </right>
      <top style="medium">
        <color rgb="FFE9E9E9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</cellStyleXfs>
  <cellXfs count="331">
    <xf numFmtId="0" fontId="0" fillId="0" borderId="0" xfId="0"/>
    <xf numFmtId="0" fontId="2" fillId="0" borderId="0" xfId="1" applyFont="1">
      <alignment vertical="center"/>
    </xf>
    <xf numFmtId="0" fontId="2" fillId="0" borderId="0" xfId="1" applyFont="1" applyAlignment="1">
      <alignment horizontal="right" vertical="center"/>
    </xf>
    <xf numFmtId="176" fontId="2" fillId="0" borderId="0" xfId="1" applyNumberFormat="1" applyFont="1">
      <alignment vertical="center"/>
    </xf>
    <xf numFmtId="0" fontId="2" fillId="0" borderId="0" xfId="1" applyFont="1" applyAlignment="1">
      <alignment horizontal="left" vertical="center"/>
    </xf>
    <xf numFmtId="176" fontId="2" fillId="2" borderId="0" xfId="1" applyNumberFormat="1" applyFont="1" applyFill="1">
      <alignment vertical="center"/>
    </xf>
    <xf numFmtId="0" fontId="2" fillId="2" borderId="0" xfId="1" applyFont="1" applyFill="1">
      <alignment vertical="center"/>
    </xf>
    <xf numFmtId="176" fontId="2" fillId="3" borderId="0" xfId="1" applyNumberFormat="1" applyFont="1" applyFill="1">
      <alignment vertical="center"/>
    </xf>
    <xf numFmtId="0" fontId="2" fillId="3" borderId="0" xfId="1" applyFont="1" applyFill="1">
      <alignment vertical="center"/>
    </xf>
    <xf numFmtId="58" fontId="2" fillId="0" borderId="0" xfId="1" applyNumberFormat="1" applyFont="1" applyAlignment="1">
      <alignment horizontal="left" vertical="center"/>
    </xf>
    <xf numFmtId="0" fontId="5" fillId="0" borderId="0" xfId="1" applyFont="1">
      <alignment vertical="center"/>
    </xf>
    <xf numFmtId="0" fontId="5" fillId="0" borderId="0" xfId="1" applyFont="1" applyAlignment="1">
      <alignment horizontal="right" vertical="center"/>
    </xf>
    <xf numFmtId="176" fontId="5" fillId="0" borderId="0" xfId="1" applyNumberFormat="1" applyFont="1">
      <alignment vertical="center"/>
    </xf>
    <xf numFmtId="0" fontId="5" fillId="0" borderId="0" xfId="1" applyFont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176" fontId="6" fillId="2" borderId="0" xfId="1" applyNumberFormat="1" applyFont="1" applyFill="1">
      <alignment vertical="center"/>
    </xf>
    <xf numFmtId="0" fontId="6" fillId="2" borderId="0" xfId="1" applyFont="1" applyFill="1">
      <alignment vertical="center"/>
    </xf>
    <xf numFmtId="58" fontId="6" fillId="0" borderId="0" xfId="1" applyNumberFormat="1" applyFont="1" applyAlignment="1">
      <alignment horizontal="left" vertical="center"/>
    </xf>
    <xf numFmtId="0" fontId="7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176" fontId="7" fillId="0" borderId="0" xfId="1" applyNumberFormat="1" applyFont="1">
      <alignment vertical="center"/>
    </xf>
    <xf numFmtId="0" fontId="7" fillId="0" borderId="0" xfId="1" applyFont="1" applyAlignment="1">
      <alignment horizontal="left" vertical="center"/>
    </xf>
    <xf numFmtId="176" fontId="2" fillId="0" borderId="0" xfId="1" applyNumberFormat="1" applyFont="1" applyAlignment="1">
      <alignment horizontal="right" vertical="center"/>
    </xf>
    <xf numFmtId="176" fontId="6" fillId="0" borderId="0" xfId="1" applyNumberFormat="1" applyFont="1">
      <alignment vertical="center"/>
    </xf>
    <xf numFmtId="0" fontId="6" fillId="0" borderId="0" xfId="1" applyFont="1" applyAlignment="1">
      <alignment horizontal="left" vertical="center"/>
    </xf>
    <xf numFmtId="176" fontId="6" fillId="3" borderId="0" xfId="1" applyNumberFormat="1" applyFont="1" applyFill="1">
      <alignment vertical="center"/>
    </xf>
    <xf numFmtId="0" fontId="6" fillId="3" borderId="0" xfId="1" applyFont="1" applyFill="1">
      <alignment vertical="center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9" fontId="8" fillId="0" borderId="1" xfId="0" applyNumberFormat="1" applyFont="1" applyBorder="1" applyAlignment="1">
      <alignment vertical="center"/>
    </xf>
    <xf numFmtId="10" fontId="8" fillId="0" borderId="1" xfId="0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8" fontId="7" fillId="4" borderId="1" xfId="0" applyNumberFormat="1" applyFont="1" applyFill="1" applyBorder="1" applyAlignment="1">
      <alignment horizontal="center" vertical="center"/>
    </xf>
    <xf numFmtId="0" fontId="8" fillId="0" borderId="0" xfId="2">
      <alignment vertical="center"/>
    </xf>
    <xf numFmtId="0" fontId="15" fillId="0" borderId="0" xfId="2" applyFont="1">
      <alignment vertical="center"/>
    </xf>
    <xf numFmtId="0" fontId="16" fillId="5" borderId="11" xfId="2" applyFont="1" applyFill="1" applyBorder="1" applyAlignment="1">
      <alignment horizontal="center" vertical="center"/>
    </xf>
    <xf numFmtId="0" fontId="16" fillId="4" borderId="11" xfId="2" applyFont="1" applyFill="1" applyBorder="1" applyAlignment="1">
      <alignment horizontal="center" vertical="center"/>
    </xf>
    <xf numFmtId="0" fontId="17" fillId="4" borderId="11" xfId="2" applyFont="1" applyFill="1" applyBorder="1" applyAlignment="1">
      <alignment horizontal="center" vertical="center"/>
    </xf>
    <xf numFmtId="0" fontId="18" fillId="4" borderId="11" xfId="2" applyFont="1" applyFill="1" applyBorder="1" applyAlignment="1">
      <alignment horizontal="left" vertical="center"/>
    </xf>
    <xf numFmtId="0" fontId="16" fillId="0" borderId="11" xfId="2" applyFont="1" applyBorder="1" applyAlignment="1">
      <alignment horizontal="center" vertical="center"/>
    </xf>
    <xf numFmtId="0" fontId="16" fillId="0" borderId="12" xfId="2" applyFont="1" applyBorder="1" applyAlignment="1">
      <alignment horizontal="center" vertical="center"/>
    </xf>
    <xf numFmtId="0" fontId="16" fillId="0" borderId="0" xfId="2" applyFont="1">
      <alignment vertical="center"/>
    </xf>
    <xf numFmtId="0" fontId="13" fillId="7" borderId="13" xfId="2" applyFont="1" applyFill="1" applyBorder="1" applyAlignment="1">
      <alignment horizontal="center" vertical="center"/>
    </xf>
    <xf numFmtId="179" fontId="16" fillId="7" borderId="14" xfId="2" applyNumberFormat="1" applyFont="1" applyFill="1" applyBorder="1" applyAlignment="1">
      <alignment horizontal="center" vertical="center"/>
    </xf>
    <xf numFmtId="179" fontId="17" fillId="7" borderId="14" xfId="2" applyNumberFormat="1" applyFont="1" applyFill="1" applyBorder="1" applyAlignment="1">
      <alignment horizontal="center" vertical="center"/>
    </xf>
    <xf numFmtId="179" fontId="17" fillId="7" borderId="9" xfId="2" applyNumberFormat="1" applyFont="1" applyFill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179" fontId="16" fillId="0" borderId="1" xfId="2" applyNumberFormat="1" applyFont="1" applyBorder="1" applyAlignment="1">
      <alignment horizontal="center" vertical="center"/>
    </xf>
    <xf numFmtId="179" fontId="17" fillId="0" borderId="1" xfId="2" applyNumberFormat="1" applyFont="1" applyBorder="1" applyAlignment="1">
      <alignment horizontal="center" vertical="center"/>
    </xf>
    <xf numFmtId="179" fontId="17" fillId="0" borderId="16" xfId="2" applyNumberFormat="1" applyFont="1" applyBorder="1" applyAlignment="1">
      <alignment horizontal="center" vertical="center"/>
    </xf>
    <xf numFmtId="0" fontId="13" fillId="8" borderId="15" xfId="2" applyFont="1" applyFill="1" applyBorder="1" applyAlignment="1">
      <alignment horizontal="center" vertical="center"/>
    </xf>
    <xf numFmtId="179" fontId="16" fillId="5" borderId="1" xfId="2" applyNumberFormat="1" applyFont="1" applyFill="1" applyBorder="1" applyAlignment="1">
      <alignment horizontal="center" vertical="center"/>
    </xf>
    <xf numFmtId="179" fontId="17" fillId="5" borderId="1" xfId="2" applyNumberFormat="1" applyFont="1" applyFill="1" applyBorder="1" applyAlignment="1">
      <alignment horizontal="center" vertical="center"/>
    </xf>
    <xf numFmtId="179" fontId="17" fillId="4" borderId="1" xfId="2" applyNumberFormat="1" applyFont="1" applyFill="1" applyBorder="1" applyAlignment="1">
      <alignment horizontal="center" vertical="center"/>
    </xf>
    <xf numFmtId="179" fontId="17" fillId="6" borderId="1" xfId="2" applyNumberFormat="1" applyFont="1" applyFill="1" applyBorder="1" applyAlignment="1">
      <alignment horizontal="center" vertical="center"/>
    </xf>
    <xf numFmtId="179" fontId="17" fillId="9" borderId="1" xfId="2" applyNumberFormat="1" applyFont="1" applyFill="1" applyBorder="1" applyAlignment="1">
      <alignment horizontal="center" vertical="center"/>
    </xf>
    <xf numFmtId="179" fontId="17" fillId="10" borderId="1" xfId="2" applyNumberFormat="1" applyFont="1" applyFill="1" applyBorder="1" applyAlignment="1">
      <alignment horizontal="center" vertical="center"/>
    </xf>
    <xf numFmtId="179" fontId="17" fillId="10" borderId="16" xfId="2" applyNumberFormat="1" applyFont="1" applyFill="1" applyBorder="1" applyAlignment="1">
      <alignment horizontal="center" vertical="center"/>
    </xf>
    <xf numFmtId="0" fontId="8" fillId="2" borderId="0" xfId="2" applyFill="1">
      <alignment vertical="center"/>
    </xf>
    <xf numFmtId="179" fontId="13" fillId="0" borderId="1" xfId="2" applyNumberFormat="1" applyFont="1" applyBorder="1" applyAlignment="1">
      <alignment horizontal="center" vertical="center"/>
    </xf>
    <xf numFmtId="0" fontId="17" fillId="0" borderId="1" xfId="2" applyFont="1" applyBorder="1" applyAlignment="1">
      <alignment horizontal="center" vertical="center"/>
    </xf>
    <xf numFmtId="179" fontId="13" fillId="5" borderId="1" xfId="2" applyNumberFormat="1" applyFont="1" applyFill="1" applyBorder="1" applyAlignment="1">
      <alignment horizontal="center" vertical="center"/>
    </xf>
    <xf numFmtId="0" fontId="17" fillId="4" borderId="1" xfId="2" applyFont="1" applyFill="1" applyBorder="1" applyAlignment="1">
      <alignment horizontal="center" vertical="center"/>
    </xf>
    <xf numFmtId="0" fontId="17" fillId="9" borderId="1" xfId="2" applyFont="1" applyFill="1" applyBorder="1" applyAlignment="1">
      <alignment horizontal="center" vertical="center"/>
    </xf>
    <xf numFmtId="0" fontId="19" fillId="11" borderId="15" xfId="2" applyFont="1" applyFill="1" applyBorder="1" applyAlignment="1">
      <alignment horizontal="center" vertical="center"/>
    </xf>
    <xf numFmtId="179" fontId="20" fillId="11" borderId="1" xfId="2" applyNumberFormat="1" applyFont="1" applyFill="1" applyBorder="1" applyAlignment="1">
      <alignment horizontal="center" vertical="center"/>
    </xf>
    <xf numFmtId="179" fontId="21" fillId="11" borderId="1" xfId="2" applyNumberFormat="1" applyFont="1" applyFill="1" applyBorder="1" applyAlignment="1">
      <alignment horizontal="center" vertical="center"/>
    </xf>
    <xf numFmtId="179" fontId="17" fillId="11" borderId="16" xfId="2" applyNumberFormat="1" applyFont="1" applyFill="1" applyBorder="1" applyAlignment="1">
      <alignment horizontal="center" vertical="center"/>
    </xf>
    <xf numFmtId="0" fontId="16" fillId="8" borderId="17" xfId="2" applyFont="1" applyFill="1" applyBorder="1" applyAlignment="1">
      <alignment horizontal="center" vertical="center"/>
    </xf>
    <xf numFmtId="179" fontId="16" fillId="5" borderId="18" xfId="2" applyNumberFormat="1" applyFont="1" applyFill="1" applyBorder="1" applyAlignment="1">
      <alignment horizontal="center" vertical="center"/>
    </xf>
    <xf numFmtId="0" fontId="16" fillId="5" borderId="18" xfId="2" applyFont="1" applyFill="1" applyBorder="1" applyAlignment="1">
      <alignment horizontal="center" vertical="center"/>
    </xf>
    <xf numFmtId="0" fontId="16" fillId="4" borderId="18" xfId="2" applyFont="1" applyFill="1" applyBorder="1" applyAlignment="1">
      <alignment horizontal="center" vertical="center"/>
    </xf>
    <xf numFmtId="0" fontId="16" fillId="0" borderId="18" xfId="2" applyFont="1" applyBorder="1" applyAlignment="1">
      <alignment horizontal="center" vertical="center"/>
    </xf>
    <xf numFmtId="0" fontId="16" fillId="9" borderId="18" xfId="2" applyFont="1" applyFill="1" applyBorder="1" applyAlignment="1">
      <alignment horizontal="center" vertical="center"/>
    </xf>
    <xf numFmtId="179" fontId="16" fillId="10" borderId="19" xfId="2" applyNumberFormat="1" applyFont="1" applyFill="1" applyBorder="1" applyAlignment="1">
      <alignment horizontal="center" vertical="center"/>
    </xf>
    <xf numFmtId="0" fontId="16" fillId="10" borderId="20" xfId="2" applyFont="1" applyFill="1" applyBorder="1" applyAlignment="1">
      <alignment horizontal="center" vertical="center"/>
    </xf>
    <xf numFmtId="0" fontId="22" fillId="0" borderId="0" xfId="2" applyFont="1">
      <alignment vertical="center"/>
    </xf>
    <xf numFmtId="0" fontId="19" fillId="9" borderId="1" xfId="2" applyFont="1" applyFill="1" applyBorder="1" applyAlignment="1">
      <alignment horizontal="center" vertical="center"/>
    </xf>
    <xf numFmtId="0" fontId="1" fillId="9" borderId="1" xfId="2" applyFont="1" applyFill="1" applyBorder="1">
      <alignment vertical="center"/>
    </xf>
    <xf numFmtId="0" fontId="19" fillId="12" borderId="1" xfId="2" applyFont="1" applyFill="1" applyBorder="1" applyAlignment="1">
      <alignment horizontal="center" vertical="center"/>
    </xf>
    <xf numFmtId="0" fontId="19" fillId="13" borderId="1" xfId="2" applyFont="1" applyFill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14" borderId="1" xfId="2" applyFont="1" applyFill="1" applyBorder="1" applyAlignment="1">
      <alignment horizontal="center" vertical="center"/>
    </xf>
    <xf numFmtId="0" fontId="19" fillId="15" borderId="1" xfId="2" applyFont="1" applyFill="1" applyBorder="1" applyAlignment="1">
      <alignment horizontal="center" vertical="center"/>
    </xf>
    <xf numFmtId="0" fontId="1" fillId="0" borderId="1" xfId="2" applyFont="1" applyBorder="1">
      <alignment vertical="center"/>
    </xf>
    <xf numFmtId="0" fontId="20" fillId="0" borderId="1" xfId="2" applyFont="1" applyBorder="1">
      <alignment vertical="center"/>
    </xf>
    <xf numFmtId="0" fontId="19" fillId="2" borderId="1" xfId="2" applyFont="1" applyFill="1" applyBorder="1" applyAlignment="1">
      <alignment horizontal="center" vertical="center"/>
    </xf>
    <xf numFmtId="0" fontId="19" fillId="10" borderId="1" xfId="2" applyFont="1" applyFill="1" applyBorder="1" applyAlignment="1">
      <alignment horizontal="center" vertical="center"/>
    </xf>
    <xf numFmtId="0" fontId="16" fillId="5" borderId="17" xfId="2" applyFont="1" applyFill="1" applyBorder="1" applyAlignment="1">
      <alignment horizontal="center" vertical="center"/>
    </xf>
    <xf numFmtId="0" fontId="16" fillId="4" borderId="18" xfId="2" applyFont="1" applyFill="1" applyBorder="1" applyAlignment="1">
      <alignment horizontal="center" vertical="center" wrapText="1"/>
    </xf>
    <xf numFmtId="0" fontId="17" fillId="4" borderId="18" xfId="2" applyFont="1" applyFill="1" applyBorder="1" applyAlignment="1">
      <alignment horizontal="center" vertical="center"/>
    </xf>
    <xf numFmtId="0" fontId="13" fillId="7" borderId="40" xfId="2" applyFont="1" applyFill="1" applyBorder="1" applyAlignment="1">
      <alignment horizontal="center" vertical="center"/>
    </xf>
    <xf numFmtId="179" fontId="16" fillId="7" borderId="13" xfId="2" applyNumberFormat="1" applyFont="1" applyFill="1" applyBorder="1" applyAlignment="1">
      <alignment horizontal="center" vertical="center"/>
    </xf>
    <xf numFmtId="0" fontId="13" fillId="0" borderId="41" xfId="2" applyFont="1" applyBorder="1" applyAlignment="1">
      <alignment horizontal="center" vertical="center"/>
    </xf>
    <xf numFmtId="179" fontId="16" fillId="0" borderId="15" xfId="2" applyNumberFormat="1" applyFont="1" applyBorder="1" applyAlignment="1">
      <alignment horizontal="center" vertical="center"/>
    </xf>
    <xf numFmtId="0" fontId="13" fillId="8" borderId="41" xfId="2" applyFont="1" applyFill="1" applyBorder="1" applyAlignment="1">
      <alignment horizontal="center" vertical="center"/>
    </xf>
    <xf numFmtId="179" fontId="16" fillId="5" borderId="15" xfId="2" applyNumberFormat="1" applyFont="1" applyFill="1" applyBorder="1" applyAlignment="1">
      <alignment horizontal="center" vertical="center"/>
    </xf>
    <xf numFmtId="179" fontId="17" fillId="16" borderId="1" xfId="2" applyNumberFormat="1" applyFont="1" applyFill="1" applyBorder="1" applyAlignment="1">
      <alignment horizontal="center" vertical="center"/>
    </xf>
    <xf numFmtId="179" fontId="17" fillId="5" borderId="15" xfId="2" applyNumberFormat="1" applyFont="1" applyFill="1" applyBorder="1" applyAlignment="1">
      <alignment horizontal="center" vertical="center"/>
    </xf>
    <xf numFmtId="0" fontId="19" fillId="11" borderId="41" xfId="2" applyFont="1" applyFill="1" applyBorder="1" applyAlignment="1">
      <alignment horizontal="center" vertical="center"/>
    </xf>
    <xf numFmtId="179" fontId="20" fillId="11" borderId="15" xfId="2" applyNumberFormat="1" applyFont="1" applyFill="1" applyBorder="1" applyAlignment="1">
      <alignment horizontal="center" vertical="center"/>
    </xf>
    <xf numFmtId="0" fontId="16" fillId="8" borderId="42" xfId="2" applyFont="1" applyFill="1" applyBorder="1" applyAlignment="1">
      <alignment horizontal="center" vertical="center"/>
    </xf>
    <xf numFmtId="179" fontId="16" fillId="5" borderId="17" xfId="2" applyNumberFormat="1" applyFont="1" applyFill="1" applyBorder="1" applyAlignment="1">
      <alignment horizontal="center" vertical="center"/>
    </xf>
    <xf numFmtId="0" fontId="16" fillId="10" borderId="19" xfId="2" applyFont="1" applyFill="1" applyBorder="1" applyAlignment="1">
      <alignment horizontal="center" vertical="center"/>
    </xf>
    <xf numFmtId="0" fontId="8" fillId="4" borderId="17" xfId="2" applyFill="1" applyBorder="1" applyAlignment="1">
      <alignment horizontal="center" vertical="center"/>
    </xf>
    <xf numFmtId="0" fontId="8" fillId="4" borderId="18" xfId="2" applyFill="1" applyBorder="1" applyAlignment="1">
      <alignment horizontal="center" vertical="center"/>
    </xf>
    <xf numFmtId="0" fontId="27" fillId="4" borderId="19" xfId="2" applyFont="1" applyFill="1" applyBorder="1" applyAlignment="1">
      <alignment horizontal="center" vertical="center"/>
    </xf>
    <xf numFmtId="0" fontId="8" fillId="4" borderId="52" xfId="2" applyFill="1" applyBorder="1" applyAlignment="1">
      <alignment horizontal="center" vertical="center"/>
    </xf>
    <xf numFmtId="0" fontId="8" fillId="4" borderId="54" xfId="2" applyFill="1" applyBorder="1" applyAlignment="1">
      <alignment horizontal="center" vertical="center"/>
    </xf>
    <xf numFmtId="0" fontId="27" fillId="4" borderId="55" xfId="2" applyFont="1" applyFill="1" applyBorder="1" applyAlignment="1">
      <alignment horizontal="center" vertical="center"/>
    </xf>
    <xf numFmtId="0" fontId="27" fillId="4" borderId="56" xfId="2" applyFont="1" applyFill="1" applyBorder="1" applyAlignment="1">
      <alignment horizontal="center" vertical="center"/>
    </xf>
    <xf numFmtId="0" fontId="13" fillId="0" borderId="40" xfId="2" applyFont="1" applyBorder="1" applyAlignment="1">
      <alignment horizontal="center" vertical="center"/>
    </xf>
    <xf numFmtId="179" fontId="17" fillId="0" borderId="13" xfId="2" applyNumberFormat="1" applyFont="1" applyBorder="1" applyAlignment="1">
      <alignment horizontal="center" vertical="center"/>
    </xf>
    <xf numFmtId="179" fontId="17" fillId="0" borderId="14" xfId="2" applyNumberFormat="1" applyFont="1" applyBorder="1" applyAlignment="1">
      <alignment horizontal="center" vertical="center"/>
    </xf>
    <xf numFmtId="179" fontId="17" fillId="0" borderId="2" xfId="2" applyNumberFormat="1" applyFont="1" applyBorder="1" applyAlignment="1">
      <alignment horizontal="center" vertical="center"/>
    </xf>
    <xf numFmtId="179" fontId="17" fillId="0" borderId="47" xfId="2" applyNumberFormat="1" applyFont="1" applyBorder="1" applyAlignment="1">
      <alignment horizontal="center" vertical="center"/>
    </xf>
    <xf numFmtId="179" fontId="16" fillId="0" borderId="48" xfId="2" applyNumberFormat="1" applyFont="1" applyBorder="1" applyAlignment="1">
      <alignment horizontal="center" vertical="center"/>
    </xf>
    <xf numFmtId="179" fontId="17" fillId="0" borderId="4" xfId="2" applyNumberFormat="1" applyFont="1" applyBorder="1" applyAlignment="1">
      <alignment horizontal="center" vertical="center"/>
    </xf>
    <xf numFmtId="179" fontId="17" fillId="0" borderId="58" xfId="2" applyNumberFormat="1" applyFont="1" applyBorder="1" applyAlignment="1">
      <alignment horizontal="center" vertical="center"/>
    </xf>
    <xf numFmtId="179" fontId="17" fillId="0" borderId="59" xfId="2" applyNumberFormat="1" applyFont="1" applyBorder="1" applyAlignment="1">
      <alignment horizontal="center" vertical="center"/>
    </xf>
    <xf numFmtId="179" fontId="16" fillId="0" borderId="50" xfId="2" applyNumberFormat="1" applyFont="1" applyBorder="1" applyAlignment="1">
      <alignment horizontal="center" vertical="center"/>
    </xf>
    <xf numFmtId="0" fontId="13" fillId="5" borderId="41" xfId="2" applyFont="1" applyFill="1" applyBorder="1" applyAlignment="1">
      <alignment horizontal="center" vertical="center"/>
    </xf>
    <xf numFmtId="179" fontId="17" fillId="5" borderId="21" xfId="2" applyNumberFormat="1" applyFont="1" applyFill="1" applyBorder="1" applyAlignment="1">
      <alignment horizontal="center" vertical="center"/>
    </xf>
    <xf numFmtId="179" fontId="17" fillId="5" borderId="60" xfId="2" applyNumberFormat="1" applyFont="1" applyFill="1" applyBorder="1" applyAlignment="1">
      <alignment horizontal="center" vertical="center"/>
    </xf>
    <xf numFmtId="179" fontId="16" fillId="6" borderId="61" xfId="2" applyNumberFormat="1" applyFont="1" applyFill="1" applyBorder="1" applyAlignment="1">
      <alignment horizontal="center" vertical="center"/>
    </xf>
    <xf numFmtId="179" fontId="17" fillId="5" borderId="23" xfId="2" applyNumberFormat="1" applyFont="1" applyFill="1" applyBorder="1" applyAlignment="1">
      <alignment horizontal="center" vertical="center"/>
    </xf>
    <xf numFmtId="179" fontId="17" fillId="5" borderId="62" xfId="2" applyNumberFormat="1" applyFont="1" applyFill="1" applyBorder="1" applyAlignment="1">
      <alignment horizontal="center" vertical="center"/>
    </xf>
    <xf numFmtId="179" fontId="17" fillId="5" borderId="63" xfId="2" applyNumberFormat="1" applyFont="1" applyFill="1" applyBorder="1" applyAlignment="1">
      <alignment horizontal="center" vertical="center"/>
    </xf>
    <xf numFmtId="179" fontId="16" fillId="6" borderId="64" xfId="2" applyNumberFormat="1" applyFont="1" applyFill="1" applyBorder="1" applyAlignment="1">
      <alignment horizontal="center" vertical="center"/>
    </xf>
    <xf numFmtId="179" fontId="17" fillId="0" borderId="15" xfId="2" applyNumberFormat="1" applyFont="1" applyBorder="1" applyAlignment="1">
      <alignment horizontal="center" vertical="center"/>
    </xf>
    <xf numFmtId="179" fontId="17" fillId="0" borderId="21" xfId="2" applyNumberFormat="1" applyFont="1" applyBorder="1" applyAlignment="1">
      <alignment horizontal="center" vertical="center"/>
    </xf>
    <xf numFmtId="179" fontId="17" fillId="0" borderId="60" xfId="2" applyNumberFormat="1" applyFont="1" applyBorder="1" applyAlignment="1">
      <alignment horizontal="center" vertical="center"/>
    </xf>
    <xf numFmtId="179" fontId="16" fillId="0" borderId="61" xfId="2" applyNumberFormat="1" applyFont="1" applyBorder="1" applyAlignment="1">
      <alignment horizontal="center" vertical="center"/>
    </xf>
    <xf numFmtId="179" fontId="17" fillId="0" borderId="23" xfId="2" applyNumberFormat="1" applyFont="1" applyBorder="1" applyAlignment="1">
      <alignment horizontal="center" vertical="center"/>
    </xf>
    <xf numFmtId="179" fontId="17" fillId="16" borderId="21" xfId="2" applyNumberFormat="1" applyFont="1" applyFill="1" applyBorder="1" applyAlignment="1">
      <alignment horizontal="center" vertical="center"/>
    </xf>
    <xf numFmtId="179" fontId="17" fillId="16" borderId="62" xfId="2" applyNumberFormat="1" applyFont="1" applyFill="1" applyBorder="1" applyAlignment="1">
      <alignment horizontal="center" vertical="center"/>
    </xf>
    <xf numFmtId="179" fontId="17" fillId="0" borderId="63" xfId="2" applyNumberFormat="1" applyFont="1" applyBorder="1" applyAlignment="1">
      <alignment horizontal="center" vertical="center"/>
    </xf>
    <xf numFmtId="179" fontId="16" fillId="0" borderId="64" xfId="2" applyNumberFormat="1" applyFont="1" applyBorder="1" applyAlignment="1">
      <alignment horizontal="center" vertical="center"/>
    </xf>
    <xf numFmtId="0" fontId="13" fillId="5" borderId="42" xfId="2" applyFont="1" applyFill="1" applyBorder="1" applyAlignment="1">
      <alignment horizontal="center" vertical="center"/>
    </xf>
    <xf numFmtId="179" fontId="17" fillId="5" borderId="17" xfId="2" applyNumberFormat="1" applyFont="1" applyFill="1" applyBorder="1" applyAlignment="1">
      <alignment horizontal="center" vertical="center"/>
    </xf>
    <xf numFmtId="179" fontId="17" fillId="5" borderId="18" xfId="2" applyNumberFormat="1" applyFont="1" applyFill="1" applyBorder="1" applyAlignment="1">
      <alignment horizontal="center" vertical="center"/>
    </xf>
    <xf numFmtId="179" fontId="17" fillId="5" borderId="19" xfId="2" applyNumberFormat="1" applyFont="1" applyFill="1" applyBorder="1" applyAlignment="1">
      <alignment horizontal="center" vertical="center"/>
    </xf>
    <xf numFmtId="179" fontId="17" fillId="5" borderId="52" xfId="2" applyNumberFormat="1" applyFont="1" applyFill="1" applyBorder="1" applyAlignment="1">
      <alignment horizontal="center" vertical="center"/>
    </xf>
    <xf numFmtId="179" fontId="16" fillId="6" borderId="53" xfId="2" applyNumberFormat="1" applyFont="1" applyFill="1" applyBorder="1" applyAlignment="1">
      <alignment horizontal="center" vertical="center"/>
    </xf>
    <xf numFmtId="179" fontId="17" fillId="5" borderId="54" xfId="2" applyNumberFormat="1" applyFont="1" applyFill="1" applyBorder="1" applyAlignment="1">
      <alignment horizontal="center" vertical="center"/>
    </xf>
    <xf numFmtId="179" fontId="17" fillId="5" borderId="55" xfId="2" applyNumberFormat="1" applyFont="1" applyFill="1" applyBorder="1" applyAlignment="1">
      <alignment horizontal="center" vertical="center"/>
    </xf>
    <xf numFmtId="179" fontId="17" fillId="5" borderId="56" xfId="2" applyNumberFormat="1" applyFont="1" applyFill="1" applyBorder="1" applyAlignment="1">
      <alignment horizontal="center" vertical="center"/>
    </xf>
    <xf numFmtId="179" fontId="16" fillId="6" borderId="57" xfId="2" applyNumberFormat="1" applyFont="1" applyFill="1" applyBorder="1" applyAlignment="1">
      <alignment horizontal="center" vertical="center"/>
    </xf>
    <xf numFmtId="0" fontId="8" fillId="0" borderId="0" xfId="2" applyAlignment="1">
      <alignment horizontal="center" vertical="center"/>
    </xf>
    <xf numFmtId="180" fontId="30" fillId="17" borderId="65" xfId="1" applyNumberFormat="1" applyFont="1" applyFill="1" applyBorder="1" applyAlignment="1">
      <alignment horizontal="center" vertical="center"/>
    </xf>
    <xf numFmtId="0" fontId="30" fillId="17" borderId="66" xfId="1" applyFont="1" applyFill="1" applyBorder="1" applyAlignment="1">
      <alignment horizontal="center" vertical="center"/>
    </xf>
    <xf numFmtId="0" fontId="29" fillId="17" borderId="1" xfId="3" applyFont="1" applyFill="1" applyBorder="1" applyAlignment="1">
      <alignment horizontal="center" vertical="center"/>
    </xf>
    <xf numFmtId="180" fontId="32" fillId="17" borderId="67" xfId="3" applyNumberFormat="1" applyFont="1" applyFill="1" applyBorder="1" applyAlignment="1">
      <alignment horizontal="center" vertical="center" wrapText="1"/>
    </xf>
    <xf numFmtId="0" fontId="32" fillId="17" borderId="35" xfId="3" applyFont="1" applyFill="1" applyBorder="1" applyAlignment="1">
      <alignment horizontal="center" vertical="center" wrapText="1"/>
    </xf>
    <xf numFmtId="181" fontId="32" fillId="17" borderId="35" xfId="3" applyNumberFormat="1" applyFont="1" applyFill="1" applyBorder="1" applyAlignment="1">
      <alignment horizontal="center" vertical="center" wrapText="1"/>
    </xf>
    <xf numFmtId="0" fontId="30" fillId="17" borderId="68" xfId="3" applyFont="1" applyFill="1" applyBorder="1" applyAlignment="1">
      <alignment horizontal="center" vertical="center" wrapText="1"/>
    </xf>
    <xf numFmtId="0" fontId="32" fillId="17" borderId="69" xfId="3" applyFont="1" applyFill="1" applyBorder="1" applyAlignment="1">
      <alignment horizontal="center" vertical="center" wrapText="1"/>
    </xf>
    <xf numFmtId="0" fontId="32" fillId="17" borderId="70" xfId="3" applyFont="1" applyFill="1" applyBorder="1" applyAlignment="1">
      <alignment horizontal="center" vertical="center" wrapText="1"/>
    </xf>
    <xf numFmtId="0" fontId="32" fillId="17" borderId="36" xfId="3" applyFont="1" applyFill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/>
    </xf>
    <xf numFmtId="0" fontId="15" fillId="2" borderId="1" xfId="2" applyFont="1" applyFill="1" applyBorder="1" applyAlignment="1">
      <alignment horizontal="center" vertical="center"/>
    </xf>
    <xf numFmtId="0" fontId="15" fillId="0" borderId="71" xfId="2" applyFont="1" applyBorder="1" applyAlignment="1">
      <alignment horizontal="center" vertical="center"/>
    </xf>
    <xf numFmtId="0" fontId="33" fillId="0" borderId="0" xfId="2" applyFont="1" applyAlignment="1">
      <alignment horizontal="left" vertical="center"/>
    </xf>
    <xf numFmtId="0" fontId="15" fillId="0" borderId="14" xfId="2" applyFont="1" applyBorder="1" applyAlignment="1">
      <alignment horizontal="center" vertical="center"/>
    </xf>
    <xf numFmtId="0" fontId="34" fillId="0" borderId="14" xfId="2" applyFont="1" applyBorder="1" applyAlignment="1">
      <alignment horizontal="center" vertical="center"/>
    </xf>
    <xf numFmtId="0" fontId="35" fillId="0" borderId="1" xfId="2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8" fillId="0" borderId="1" xfId="2" applyBorder="1" applyAlignment="1">
      <alignment horizontal="center" vertical="center"/>
    </xf>
    <xf numFmtId="0" fontId="15" fillId="0" borderId="35" xfId="2" applyFont="1" applyBorder="1" applyAlignment="1">
      <alignment horizontal="center" vertical="center"/>
    </xf>
    <xf numFmtId="0" fontId="15" fillId="0" borderId="35" xfId="2" applyFont="1" applyBorder="1">
      <alignment vertical="center"/>
    </xf>
    <xf numFmtId="0" fontId="15" fillId="0" borderId="23" xfId="2" applyFont="1" applyBorder="1" applyAlignment="1">
      <alignment horizontal="center" vertical="center"/>
    </xf>
    <xf numFmtId="0" fontId="15" fillId="0" borderId="26" xfId="2" applyFont="1" applyBorder="1" applyAlignment="1">
      <alignment horizontal="center" vertical="center"/>
    </xf>
    <xf numFmtId="0" fontId="15" fillId="0" borderId="6" xfId="2" applyFont="1" applyBorder="1" applyAlignment="1">
      <alignment horizontal="center" vertical="center"/>
    </xf>
    <xf numFmtId="0" fontId="15" fillId="0" borderId="15" xfId="2" applyFont="1" applyBorder="1" applyAlignment="1">
      <alignment horizontal="center" vertical="center"/>
    </xf>
    <xf numFmtId="0" fontId="15" fillId="0" borderId="17" xfId="2" applyFont="1" applyBorder="1" applyAlignment="1">
      <alignment horizontal="center" vertical="center"/>
    </xf>
    <xf numFmtId="0" fontId="15" fillId="0" borderId="18" xfId="2" applyFont="1" applyBorder="1" applyAlignment="1">
      <alignment horizontal="center" vertical="center"/>
    </xf>
    <xf numFmtId="0" fontId="15" fillId="2" borderId="6" xfId="2" applyFont="1" applyFill="1" applyBorder="1" applyAlignment="1">
      <alignment horizontal="center" vertical="center"/>
    </xf>
    <xf numFmtId="0" fontId="15" fillId="2" borderId="18" xfId="2" applyFont="1" applyFill="1" applyBorder="1" applyAlignment="1">
      <alignment horizontal="center" vertical="center"/>
    </xf>
    <xf numFmtId="179" fontId="16" fillId="16" borderId="64" xfId="2" applyNumberFormat="1" applyFont="1" applyFill="1" applyBorder="1" applyAlignment="1">
      <alignment horizontal="center" vertical="center"/>
    </xf>
    <xf numFmtId="179" fontId="16" fillId="16" borderId="61" xfId="2" applyNumberFormat="1" applyFont="1" applyFill="1" applyBorder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177" fontId="9" fillId="16" borderId="1" xfId="0" applyNumberFormat="1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178" fontId="9" fillId="16" borderId="1" xfId="0" applyNumberFormat="1" applyFont="1" applyFill="1" applyBorder="1" applyAlignment="1">
      <alignment horizontal="center" vertical="center"/>
    </xf>
    <xf numFmtId="58" fontId="9" fillId="16" borderId="1" xfId="0" applyNumberFormat="1" applyFont="1" applyFill="1" applyBorder="1" applyAlignment="1">
      <alignment horizontal="center" vertical="center"/>
    </xf>
    <xf numFmtId="0" fontId="9" fillId="16" borderId="1" xfId="0" quotePrefix="1" applyFont="1" applyFill="1" applyBorder="1" applyAlignment="1">
      <alignment horizontal="center" vertical="center"/>
    </xf>
    <xf numFmtId="177" fontId="9" fillId="16" borderId="71" xfId="0" applyNumberFormat="1" applyFont="1" applyFill="1" applyBorder="1" applyAlignment="1">
      <alignment horizontal="center" vertical="center"/>
    </xf>
    <xf numFmtId="0" fontId="9" fillId="16" borderId="71" xfId="0" applyFont="1" applyFill="1" applyBorder="1" applyAlignment="1">
      <alignment horizontal="center" vertical="center"/>
    </xf>
    <xf numFmtId="178" fontId="9" fillId="16" borderId="71" xfId="0" applyNumberFormat="1" applyFont="1" applyFill="1" applyBorder="1" applyAlignment="1">
      <alignment horizontal="center" vertical="center"/>
    </xf>
    <xf numFmtId="0" fontId="0" fillId="10" borderId="0" xfId="0" applyFill="1"/>
    <xf numFmtId="179" fontId="16" fillId="7" borderId="4" xfId="2" applyNumberFormat="1" applyFont="1" applyFill="1" applyBorder="1" applyAlignment="1">
      <alignment horizontal="center" vertical="center"/>
    </xf>
    <xf numFmtId="179" fontId="16" fillId="0" borderId="23" xfId="2" applyNumberFormat="1" applyFont="1" applyBorder="1" applyAlignment="1">
      <alignment horizontal="center" vertical="center"/>
    </xf>
    <xf numFmtId="179" fontId="16" fillId="5" borderId="23" xfId="2" applyNumberFormat="1" applyFont="1" applyFill="1" applyBorder="1" applyAlignment="1">
      <alignment horizontal="center" vertical="center"/>
    </xf>
    <xf numFmtId="0" fontId="16" fillId="5" borderId="54" xfId="2" applyFont="1" applyFill="1" applyBorder="1" applyAlignment="1">
      <alignment horizontal="center" vertical="center" wrapText="1"/>
    </xf>
    <xf numFmtId="0" fontId="27" fillId="4" borderId="49" xfId="2" applyFont="1" applyFill="1" applyBorder="1" applyAlignment="1">
      <alignment horizontal="center" vertical="center"/>
    </xf>
    <xf numFmtId="179" fontId="17" fillId="16" borderId="16" xfId="2" applyNumberFormat="1" applyFont="1" applyFill="1" applyBorder="1" applyAlignment="1">
      <alignment horizontal="center" vertical="center"/>
    </xf>
    <xf numFmtId="0" fontId="12" fillId="0" borderId="0" xfId="2" applyFont="1">
      <alignment vertical="center"/>
    </xf>
    <xf numFmtId="0" fontId="6" fillId="16" borderId="1" xfId="0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4" fontId="39" fillId="18" borderId="80" xfId="0" applyNumberFormat="1" applyFont="1" applyFill="1" applyBorder="1" applyAlignment="1">
      <alignment horizontal="center" vertical="center" wrapText="1"/>
    </xf>
    <xf numFmtId="0" fontId="39" fillId="18" borderId="80" xfId="0" applyFont="1" applyFill="1" applyBorder="1" applyAlignment="1">
      <alignment horizontal="center" vertical="center" wrapText="1"/>
    </xf>
    <xf numFmtId="14" fontId="39" fillId="18" borderId="80" xfId="0" applyNumberFormat="1" applyFont="1" applyFill="1" applyBorder="1" applyAlignment="1">
      <alignment horizontal="center" vertical="center" wrapText="1"/>
    </xf>
    <xf numFmtId="4" fontId="39" fillId="18" borderId="81" xfId="0" applyNumberFormat="1" applyFont="1" applyFill="1" applyBorder="1" applyAlignment="1">
      <alignment horizontal="center" vertical="center" wrapText="1"/>
    </xf>
    <xf numFmtId="0" fontId="39" fillId="18" borderId="81" xfId="0" applyFont="1" applyFill="1" applyBorder="1" applyAlignment="1">
      <alignment horizontal="center" vertical="center" wrapText="1"/>
    </xf>
    <xf numFmtId="0" fontId="0" fillId="18" borderId="82" xfId="0" applyFill="1" applyBorder="1"/>
    <xf numFmtId="0" fontId="0" fillId="18" borderId="83" xfId="0" applyFill="1" applyBorder="1"/>
    <xf numFmtId="0" fontId="15" fillId="0" borderId="14" xfId="2" applyFont="1" applyBorder="1">
      <alignment vertical="center"/>
    </xf>
    <xf numFmtId="0" fontId="40" fillId="0" borderId="1" xfId="2" applyFont="1" applyBorder="1" applyAlignment="1">
      <alignment horizontal="center" vertical="center"/>
    </xf>
    <xf numFmtId="179" fontId="17" fillId="0" borderId="62" xfId="2" applyNumberFormat="1" applyFont="1" applyBorder="1" applyAlignment="1">
      <alignment horizontal="center" vertical="center"/>
    </xf>
    <xf numFmtId="0" fontId="38" fillId="16" borderId="1" xfId="0" applyFont="1" applyFill="1" applyBorder="1" applyAlignment="1">
      <alignment horizontal="center" vertical="top"/>
    </xf>
    <xf numFmtId="177" fontId="38" fillId="16" borderId="1" xfId="0" applyNumberFormat="1" applyFont="1" applyFill="1" applyBorder="1" applyAlignment="1">
      <alignment horizontal="center" vertical="top"/>
    </xf>
    <xf numFmtId="0" fontId="38" fillId="0" borderId="1" xfId="0" applyFont="1" applyBorder="1" applyAlignment="1">
      <alignment horizontal="center" vertical="top"/>
    </xf>
    <xf numFmtId="0" fontId="37" fillId="0" borderId="1" xfId="0" applyFont="1" applyBorder="1" applyAlignment="1">
      <alignment horizontal="center" vertical="top"/>
    </xf>
    <xf numFmtId="178" fontId="38" fillId="0" borderId="1" xfId="0" applyNumberFormat="1" applyFont="1" applyBorder="1" applyAlignment="1">
      <alignment horizontal="center" vertical="top"/>
    </xf>
    <xf numFmtId="177" fontId="38" fillId="0" borderId="1" xfId="0" applyNumberFormat="1" applyFont="1" applyBorder="1" applyAlignment="1">
      <alignment vertical="top"/>
    </xf>
    <xf numFmtId="0" fontId="0" fillId="0" borderId="0" xfId="0" applyAlignment="1">
      <alignment vertical="top"/>
    </xf>
    <xf numFmtId="0" fontId="15" fillId="0" borderId="84" xfId="2" applyFont="1" applyBorder="1" applyAlignment="1">
      <alignment horizontal="center" vertical="center"/>
    </xf>
    <xf numFmtId="0" fontId="15" fillId="0" borderId="63" xfId="2" applyFont="1" applyBorder="1" applyAlignment="1">
      <alignment horizontal="center" vertical="center"/>
    </xf>
    <xf numFmtId="0" fontId="15" fillId="0" borderId="56" xfId="2" applyFont="1" applyBorder="1" applyAlignment="1">
      <alignment horizontal="center" vertical="center"/>
    </xf>
    <xf numFmtId="179" fontId="8" fillId="0" borderId="0" xfId="2" applyNumberFormat="1" applyAlignment="1">
      <alignment horizontal="center" vertical="center"/>
    </xf>
    <xf numFmtId="0" fontId="41" fillId="0" borderId="0" xfId="2" applyFont="1">
      <alignment vertical="center"/>
    </xf>
    <xf numFmtId="0" fontId="16" fillId="9" borderId="19" xfId="2" applyFont="1" applyFill="1" applyBorder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0" fillId="5" borderId="0" xfId="0" applyFill="1"/>
    <xf numFmtId="179" fontId="0" fillId="0" borderId="0" xfId="0" applyNumberFormat="1"/>
    <xf numFmtId="0" fontId="15" fillId="10" borderId="1" xfId="2" applyFont="1" applyFill="1" applyBorder="1" applyAlignment="1">
      <alignment horizontal="center" vertical="center"/>
    </xf>
    <xf numFmtId="0" fontId="15" fillId="10" borderId="14" xfId="2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7" fontId="10" fillId="4" borderId="2" xfId="0" applyNumberFormat="1" applyFont="1" applyFill="1" applyBorder="1" applyAlignment="1">
      <alignment horizontal="center" vertical="center"/>
    </xf>
    <xf numFmtId="177" fontId="10" fillId="4" borderId="3" xfId="0" applyNumberFormat="1" applyFont="1" applyFill="1" applyBorder="1" applyAlignment="1">
      <alignment horizontal="center" vertical="center"/>
    </xf>
    <xf numFmtId="177" fontId="10" fillId="4" borderId="4" xfId="0" applyNumberFormat="1" applyFont="1" applyFill="1" applyBorder="1" applyAlignment="1">
      <alignment horizontal="center" vertical="center"/>
    </xf>
    <xf numFmtId="0" fontId="23" fillId="0" borderId="1" xfId="2" applyFont="1" applyBorder="1" applyAlignment="1">
      <alignment horizontal="center" vertical="center"/>
    </xf>
    <xf numFmtId="0" fontId="23" fillId="0" borderId="21" xfId="2" applyFont="1" applyBorder="1" applyAlignment="1">
      <alignment horizontal="center" vertical="center"/>
    </xf>
    <xf numFmtId="0" fontId="23" fillId="0" borderId="22" xfId="2" applyFont="1" applyBorder="1" applyAlignment="1">
      <alignment horizontal="center" vertical="center"/>
    </xf>
    <xf numFmtId="0" fontId="23" fillId="0" borderId="23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3" fillId="0" borderId="5" xfId="2" applyFont="1" applyBorder="1" applyAlignment="1">
      <alignment horizontal="left" vertical="center"/>
    </xf>
    <xf numFmtId="0" fontId="13" fillId="0" borderId="8" xfId="2" applyFont="1" applyBorder="1" applyAlignment="1">
      <alignment horizontal="left" vertical="center"/>
    </xf>
    <xf numFmtId="0" fontId="16" fillId="0" borderId="10" xfId="2" applyFont="1" applyBorder="1" applyAlignment="1">
      <alignment horizontal="left" vertical="center"/>
    </xf>
    <xf numFmtId="0" fontId="14" fillId="5" borderId="6" xfId="2" applyFont="1" applyFill="1" applyBorder="1" applyAlignment="1">
      <alignment horizontal="center" vertical="center"/>
    </xf>
    <xf numFmtId="0" fontId="14" fillId="5" borderId="1" xfId="2" applyFont="1" applyFill="1" applyBorder="1" applyAlignment="1">
      <alignment horizontal="center" vertical="center"/>
    </xf>
    <xf numFmtId="0" fontId="14" fillId="4" borderId="6" xfId="2" applyFont="1" applyFill="1" applyBorder="1" applyAlignment="1">
      <alignment horizontal="center" vertical="center"/>
    </xf>
    <xf numFmtId="0" fontId="14" fillId="6" borderId="6" xfId="2" applyFont="1" applyFill="1" applyBorder="1" applyAlignment="1">
      <alignment horizontal="center" vertical="center"/>
    </xf>
    <xf numFmtId="0" fontId="14" fillId="6" borderId="1" xfId="2" applyFont="1" applyFill="1" applyBorder="1" applyAlignment="1">
      <alignment horizontal="center" vertical="center"/>
    </xf>
    <xf numFmtId="0" fontId="16" fillId="6" borderId="11" xfId="2" applyFont="1" applyFill="1" applyBorder="1" applyAlignment="1">
      <alignment horizontal="center" vertical="center"/>
    </xf>
    <xf numFmtId="0" fontId="14" fillId="0" borderId="6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4" borderId="1" xfId="2" applyFont="1" applyFill="1" applyBorder="1" applyAlignment="1">
      <alignment horizontal="center" vertical="center"/>
    </xf>
    <xf numFmtId="0" fontId="27" fillId="4" borderId="75" xfId="2" applyFont="1" applyFill="1" applyBorder="1" applyAlignment="1">
      <alignment horizontal="center" vertical="center"/>
    </xf>
    <xf numFmtId="0" fontId="27" fillId="4" borderId="28" xfId="2" applyFont="1" applyFill="1" applyBorder="1" applyAlignment="1">
      <alignment horizontal="center" vertical="center"/>
    </xf>
    <xf numFmtId="0" fontId="27" fillId="4" borderId="76" xfId="2" applyFont="1" applyFill="1" applyBorder="1" applyAlignment="1">
      <alignment horizontal="center" vertical="center"/>
    </xf>
    <xf numFmtId="0" fontId="27" fillId="4" borderId="74" xfId="2" applyFont="1" applyFill="1" applyBorder="1" applyAlignment="1">
      <alignment horizontal="center" vertical="center"/>
    </xf>
    <xf numFmtId="0" fontId="27" fillId="4" borderId="77" xfId="2" applyFont="1" applyFill="1" applyBorder="1" applyAlignment="1">
      <alignment horizontal="center" vertical="center"/>
    </xf>
    <xf numFmtId="0" fontId="28" fillId="6" borderId="78" xfId="2" applyFont="1" applyFill="1" applyBorder="1" applyAlignment="1">
      <alignment horizontal="center" vertical="center" wrapText="1"/>
    </xf>
    <xf numFmtId="0" fontId="28" fillId="6" borderId="79" xfId="2" applyFont="1" applyFill="1" applyBorder="1" applyAlignment="1">
      <alignment horizontal="center" vertical="center" wrapText="1"/>
    </xf>
    <xf numFmtId="0" fontId="12" fillId="4" borderId="43" xfId="2" applyFont="1" applyFill="1" applyBorder="1" applyAlignment="1">
      <alignment horizontal="center" vertical="center"/>
    </xf>
    <xf numFmtId="0" fontId="12" fillId="4" borderId="44" xfId="2" applyFont="1" applyFill="1" applyBorder="1" applyAlignment="1">
      <alignment horizontal="center" vertical="center"/>
    </xf>
    <xf numFmtId="0" fontId="12" fillId="4" borderId="45" xfId="2" applyFont="1" applyFill="1" applyBorder="1" applyAlignment="1">
      <alignment horizontal="center" vertical="center"/>
    </xf>
    <xf numFmtId="0" fontId="13" fillId="4" borderId="46" xfId="2" applyFont="1" applyFill="1" applyBorder="1" applyAlignment="1">
      <alignment horizontal="center" vertical="center"/>
    </xf>
    <xf numFmtId="0" fontId="13" fillId="4" borderId="51" xfId="2" applyFont="1" applyFill="1" applyBorder="1" applyAlignment="1">
      <alignment horizontal="center" vertical="center"/>
    </xf>
    <xf numFmtId="0" fontId="28" fillId="6" borderId="50" xfId="2" applyFont="1" applyFill="1" applyBorder="1" applyAlignment="1">
      <alignment horizontal="center" vertical="center" wrapText="1"/>
    </xf>
    <xf numFmtId="0" fontId="28" fillId="6" borderId="57" xfId="2" applyFont="1" applyFill="1" applyBorder="1" applyAlignment="1">
      <alignment horizontal="center" vertical="center" wrapText="1"/>
    </xf>
    <xf numFmtId="0" fontId="12" fillId="0" borderId="24" xfId="2" applyFont="1" applyBorder="1" applyAlignment="1">
      <alignment horizontal="center" vertical="center"/>
    </xf>
    <xf numFmtId="0" fontId="13" fillId="0" borderId="25" xfId="2" applyFont="1" applyBorder="1" applyAlignment="1">
      <alignment horizontal="left" vertical="center"/>
    </xf>
    <xf numFmtId="0" fontId="13" fillId="0" borderId="34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4" fillId="4" borderId="27" xfId="2" applyFont="1" applyFill="1" applyBorder="1" applyAlignment="1">
      <alignment horizontal="center" vertical="center"/>
    </xf>
    <xf numFmtId="0" fontId="14" fillId="4" borderId="28" xfId="2" applyFont="1" applyFill="1" applyBorder="1" applyAlignment="1">
      <alignment horizontal="center" vertical="center"/>
    </xf>
    <xf numFmtId="0" fontId="14" fillId="4" borderId="29" xfId="2" applyFont="1" applyFill="1" applyBorder="1" applyAlignment="1">
      <alignment horizontal="center" vertical="center"/>
    </xf>
    <xf numFmtId="0" fontId="14" fillId="6" borderId="30" xfId="2" applyFont="1" applyFill="1" applyBorder="1" applyAlignment="1">
      <alignment horizontal="center" vertical="center"/>
    </xf>
    <xf numFmtId="0" fontId="14" fillId="6" borderId="35" xfId="2" applyFont="1" applyFill="1" applyBorder="1" applyAlignment="1">
      <alignment horizontal="center" vertical="center"/>
    </xf>
    <xf numFmtId="0" fontId="14" fillId="6" borderId="38" xfId="2" applyFont="1" applyFill="1" applyBorder="1" applyAlignment="1">
      <alignment horizontal="center" vertical="center"/>
    </xf>
    <xf numFmtId="0" fontId="14" fillId="0" borderId="31" xfId="2" applyFont="1" applyBorder="1" applyAlignment="1">
      <alignment horizontal="center" vertical="center"/>
    </xf>
    <xf numFmtId="0" fontId="14" fillId="0" borderId="66" xfId="2" applyFont="1" applyBorder="1" applyAlignment="1">
      <alignment horizontal="center" vertical="center"/>
    </xf>
    <xf numFmtId="0" fontId="14" fillId="0" borderId="32" xfId="2" applyFont="1" applyBorder="1" applyAlignment="1">
      <alignment horizontal="center" vertical="center"/>
    </xf>
    <xf numFmtId="0" fontId="14" fillId="0" borderId="2" xfId="2" applyFont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0" fontId="14" fillId="0" borderId="4" xfId="2" applyFont="1" applyBorder="1" applyAlignment="1">
      <alignment horizontal="center" vertical="center"/>
    </xf>
    <xf numFmtId="0" fontId="14" fillId="0" borderId="33" xfId="2" applyFont="1" applyBorder="1" applyAlignment="1">
      <alignment horizontal="center" vertical="center"/>
    </xf>
    <xf numFmtId="0" fontId="14" fillId="0" borderId="36" xfId="2" applyFont="1" applyBorder="1" applyAlignment="1">
      <alignment horizontal="center" vertical="center"/>
    </xf>
    <xf numFmtId="0" fontId="14" fillId="0" borderId="39" xfId="2" applyFont="1" applyBorder="1" applyAlignment="1">
      <alignment horizontal="center" vertical="center"/>
    </xf>
    <xf numFmtId="0" fontId="14" fillId="4" borderId="21" xfId="2" applyFont="1" applyFill="1" applyBorder="1" applyAlignment="1">
      <alignment horizontal="center" vertical="center"/>
    </xf>
    <xf numFmtId="0" fontId="14" fillId="4" borderId="22" xfId="2" applyFont="1" applyFill="1" applyBorder="1" applyAlignment="1">
      <alignment horizontal="center" vertical="center"/>
    </xf>
    <xf numFmtId="0" fontId="14" fillId="4" borderId="23" xfId="2" applyFont="1" applyFill="1" applyBorder="1" applyAlignment="1">
      <alignment horizontal="center" vertical="center"/>
    </xf>
    <xf numFmtId="0" fontId="16" fillId="5" borderId="72" xfId="2" applyFont="1" applyFill="1" applyBorder="1" applyAlignment="1">
      <alignment horizontal="center" vertical="center"/>
    </xf>
    <xf numFmtId="0" fontId="16" fillId="5" borderId="73" xfId="2" applyFont="1" applyFill="1" applyBorder="1" applyAlignment="1">
      <alignment horizontal="center" vertical="center"/>
    </xf>
    <xf numFmtId="0" fontId="14" fillId="5" borderId="74" xfId="2" applyFont="1" applyFill="1" applyBorder="1" applyAlignment="1">
      <alignment horizontal="center" vertical="center"/>
    </xf>
    <xf numFmtId="0" fontId="14" fillId="5" borderId="28" xfId="2" applyFont="1" applyFill="1" applyBorder="1" applyAlignment="1">
      <alignment horizontal="center" vertical="center"/>
    </xf>
    <xf numFmtId="0" fontId="14" fillId="5" borderId="29" xfId="2" applyFont="1" applyFill="1" applyBorder="1" applyAlignment="1">
      <alignment horizontal="center" vertical="center"/>
    </xf>
    <xf numFmtId="0" fontId="16" fillId="5" borderId="71" xfId="2" applyFont="1" applyFill="1" applyBorder="1" applyAlignment="1">
      <alignment horizontal="center" vertical="center"/>
    </xf>
    <xf numFmtId="0" fontId="16" fillId="5" borderId="38" xfId="2" applyFont="1" applyFill="1" applyBorder="1" applyAlignment="1">
      <alignment horizontal="center" vertical="center"/>
    </xf>
    <xf numFmtId="0" fontId="15" fillId="0" borderId="71" xfId="2" applyFont="1" applyBorder="1" applyAlignment="1">
      <alignment horizontal="center" vertical="center"/>
    </xf>
    <xf numFmtId="0" fontId="15" fillId="0" borderId="35" xfId="2" applyFont="1" applyBorder="1" applyAlignment="1">
      <alignment horizontal="center" vertical="center"/>
    </xf>
    <xf numFmtId="0" fontId="15" fillId="0" borderId="14" xfId="2" applyFont="1" applyBorder="1" applyAlignment="1">
      <alignment horizontal="center" vertical="center"/>
    </xf>
    <xf numFmtId="0" fontId="36" fillId="0" borderId="71" xfId="2" applyFont="1" applyBorder="1" applyAlignment="1">
      <alignment horizontal="center" vertical="center"/>
    </xf>
    <xf numFmtId="0" fontId="36" fillId="0" borderId="35" xfId="2" applyFont="1" applyBorder="1" applyAlignment="1">
      <alignment horizontal="center" vertical="center"/>
    </xf>
    <xf numFmtId="0" fontId="36" fillId="0" borderId="14" xfId="2" applyFont="1" applyBorder="1" applyAlignment="1">
      <alignment horizontal="center" vertical="center"/>
    </xf>
    <xf numFmtId="0" fontId="15" fillId="0" borderId="33" xfId="2" applyFont="1" applyBorder="1" applyAlignment="1">
      <alignment horizontal="center" vertical="center"/>
    </xf>
    <xf numFmtId="0" fontId="15" fillId="0" borderId="36" xfId="2" applyFont="1" applyBorder="1" applyAlignment="1">
      <alignment horizontal="center" vertical="center"/>
    </xf>
    <xf numFmtId="0" fontId="15" fillId="0" borderId="39" xfId="2" applyFont="1" applyBorder="1" applyAlignment="1">
      <alignment horizontal="center" vertical="center"/>
    </xf>
    <xf numFmtId="0" fontId="15" fillId="0" borderId="30" xfId="2" applyFont="1" applyBorder="1" applyAlignment="1">
      <alignment horizontal="center" vertical="center"/>
    </xf>
    <xf numFmtId="0" fontId="15" fillId="0" borderId="38" xfId="2" applyFont="1" applyBorder="1" applyAlignment="1">
      <alignment horizontal="center" vertical="center"/>
    </xf>
    <xf numFmtId="180" fontId="29" fillId="17" borderId="43" xfId="1" applyNumberFormat="1" applyFont="1" applyFill="1" applyBorder="1" applyAlignment="1">
      <alignment horizontal="center" vertical="center"/>
    </xf>
    <xf numFmtId="180" fontId="29" fillId="17" borderId="44" xfId="1" applyNumberFormat="1" applyFont="1" applyFill="1" applyBorder="1" applyAlignment="1">
      <alignment horizontal="center" vertical="center"/>
    </xf>
    <xf numFmtId="180" fontId="30" fillId="17" borderId="44" xfId="1" applyNumberFormat="1" applyFont="1" applyFill="1" applyBorder="1" applyAlignment="1">
      <alignment horizontal="center" vertical="center"/>
    </xf>
    <xf numFmtId="180" fontId="29" fillId="17" borderId="45" xfId="1" applyNumberFormat="1" applyFont="1" applyFill="1" applyBorder="1" applyAlignment="1">
      <alignment horizontal="center" vertical="center"/>
    </xf>
    <xf numFmtId="180" fontId="30" fillId="17" borderId="66" xfId="1" applyNumberFormat="1" applyFont="1" applyFill="1" applyBorder="1" applyAlignment="1">
      <alignment horizontal="center" vertical="center"/>
    </xf>
    <xf numFmtId="180" fontId="31" fillId="17" borderId="66" xfId="1" applyNumberFormat="1" applyFont="1" applyFill="1" applyBorder="1" applyAlignment="1">
      <alignment horizontal="center" vertical="center"/>
    </xf>
    <xf numFmtId="180" fontId="29" fillId="17" borderId="66" xfId="1" applyNumberFormat="1" applyFont="1" applyFill="1" applyBorder="1" applyAlignment="1">
      <alignment horizontal="center" vertical="center"/>
    </xf>
    <xf numFmtId="180" fontId="30" fillId="17" borderId="7" xfId="1" applyNumberFormat="1" applyFont="1" applyFill="1" applyBorder="1" applyAlignment="1">
      <alignment horizontal="center" vertical="center"/>
    </xf>
    <xf numFmtId="0" fontId="30" fillId="17" borderId="66" xfId="1" applyFont="1" applyFill="1" applyBorder="1" applyAlignment="1">
      <alignment horizontal="center" vertical="center"/>
    </xf>
    <xf numFmtId="0" fontId="30" fillId="17" borderId="65" xfId="1" applyFont="1" applyFill="1" applyBorder="1" applyAlignment="1">
      <alignment horizontal="center" vertical="center"/>
    </xf>
    <xf numFmtId="0" fontId="30" fillId="17" borderId="7" xfId="1" applyFont="1" applyFill="1" applyBorder="1" applyAlignment="1">
      <alignment horizontal="center" vertical="center"/>
    </xf>
    <xf numFmtId="180" fontId="32" fillId="17" borderId="1" xfId="3" applyNumberFormat="1" applyFont="1" applyFill="1" applyBorder="1" applyAlignment="1">
      <alignment horizontal="center" vertical="center"/>
    </xf>
    <xf numFmtId="0" fontId="32" fillId="17" borderId="1" xfId="3" applyFont="1" applyFill="1" applyBorder="1" applyAlignment="1">
      <alignment horizontal="center" vertical="center"/>
    </xf>
    <xf numFmtId="0" fontId="30" fillId="17" borderId="1" xfId="3" applyFont="1" applyFill="1" applyBorder="1" applyAlignment="1">
      <alignment horizontal="center" vertical="center"/>
    </xf>
    <xf numFmtId="181" fontId="31" fillId="17" borderId="1" xfId="3" applyNumberFormat="1" applyFont="1" applyFill="1" applyBorder="1" applyAlignment="1">
      <alignment horizontal="center" vertical="center"/>
    </xf>
  </cellXfs>
  <cellStyles count="4">
    <cellStyle name="常规" xfId="0" builtinId="0"/>
    <cellStyle name="常规 2" xfId="1" xr:uid="{E9778A34-F3D8-4002-83EA-7AA268E25737}"/>
    <cellStyle name="常规 3" xfId="2" xr:uid="{55F7E05D-4868-4200-96EC-FD395911D12C}"/>
    <cellStyle name="常规 3 2" xfId="3" xr:uid="{B79ABA8F-9483-4069-A178-B542DA0E76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2022</a:t>
            </a:r>
            <a:r>
              <a:rPr lang="zh-CN" altLang="en-US"/>
              <a:t>年</a:t>
            </a:r>
            <a:r>
              <a:rPr lang="en-US" altLang="zh-CN"/>
              <a:t>1-9</a:t>
            </a:r>
            <a:r>
              <a:rPr lang="zh-CN" altLang="en-US"/>
              <a:t>月美蝶收支情况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861098197674879"/>
          <c:y val="0.15030853286196366"/>
          <c:w val="0.87092769051810071"/>
          <c:h val="0.77693556162622535"/>
        </c:manualLayout>
      </c:layout>
      <c:lineChart>
        <c:grouping val="standard"/>
        <c:varyColors val="0"/>
        <c:ser>
          <c:idx val="0"/>
          <c:order val="0"/>
          <c:tx>
            <c:strRef>
              <c:f>'2022财报'!$B$2:$E$2</c:f>
              <c:strCache>
                <c:ptCount val="1"/>
                <c:pt idx="0">
                  <c:v>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'2022财报'!$E$6:$E$14</c:f>
              <c:numCache>
                <c:formatCode>0.00_ </c:formatCode>
                <c:ptCount val="9"/>
                <c:pt idx="0">
                  <c:v>200111.83000000002</c:v>
                </c:pt>
                <c:pt idx="1">
                  <c:v>6900</c:v>
                </c:pt>
                <c:pt idx="2">
                  <c:v>139310.38</c:v>
                </c:pt>
                <c:pt idx="3">
                  <c:v>34150</c:v>
                </c:pt>
                <c:pt idx="4">
                  <c:v>34060.75</c:v>
                </c:pt>
                <c:pt idx="5">
                  <c:v>380712.27999999997</c:v>
                </c:pt>
                <c:pt idx="6">
                  <c:v>251871.67</c:v>
                </c:pt>
                <c:pt idx="7">
                  <c:v>344478.22</c:v>
                </c:pt>
                <c:pt idx="8">
                  <c:v>372625.19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9C-45CD-8AEA-187A5259ECE2}"/>
            </c:ext>
          </c:extLst>
        </c:ser>
        <c:ser>
          <c:idx val="1"/>
          <c:order val="1"/>
          <c:tx>
            <c:strRef>
              <c:f>'2022财报'!$F$3:$I$3</c:f>
              <c:strCache>
                <c:ptCount val="1"/>
                <c:pt idx="0">
                  <c:v>工资及社保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'2022财报'!$I$6:$I$14</c:f>
              <c:numCache>
                <c:formatCode>0.00_ </c:formatCode>
                <c:ptCount val="9"/>
                <c:pt idx="0">
                  <c:v>93753.32</c:v>
                </c:pt>
                <c:pt idx="1">
                  <c:v>68601.08</c:v>
                </c:pt>
                <c:pt idx="2">
                  <c:v>28003.75</c:v>
                </c:pt>
                <c:pt idx="3">
                  <c:v>67337.84</c:v>
                </c:pt>
                <c:pt idx="4">
                  <c:v>38815.919999999998</c:v>
                </c:pt>
                <c:pt idx="5">
                  <c:v>46645.27</c:v>
                </c:pt>
                <c:pt idx="6">
                  <c:v>162017.66</c:v>
                </c:pt>
                <c:pt idx="7">
                  <c:v>108946.9</c:v>
                </c:pt>
                <c:pt idx="8">
                  <c:v>130629.67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9C-45CD-8AEA-187A5259ECE2}"/>
            </c:ext>
          </c:extLst>
        </c:ser>
        <c:ser>
          <c:idx val="2"/>
          <c:order val="2"/>
          <c:tx>
            <c:strRef>
              <c:f>'2022财报'!$J$3:$V$3</c:f>
              <c:strCache>
                <c:ptCount val="1"/>
                <c:pt idx="0">
                  <c:v>费用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'2022财报'!$V$6:$V$14</c:f>
              <c:numCache>
                <c:formatCode>0.00_ </c:formatCode>
                <c:ptCount val="9"/>
                <c:pt idx="0">
                  <c:v>10350.08</c:v>
                </c:pt>
                <c:pt idx="1">
                  <c:v>6961.7</c:v>
                </c:pt>
                <c:pt idx="2">
                  <c:v>110741.38999999998</c:v>
                </c:pt>
                <c:pt idx="3">
                  <c:v>120410.67</c:v>
                </c:pt>
                <c:pt idx="4">
                  <c:v>165566.03</c:v>
                </c:pt>
                <c:pt idx="5">
                  <c:v>29957.61</c:v>
                </c:pt>
                <c:pt idx="6">
                  <c:v>36185.24</c:v>
                </c:pt>
                <c:pt idx="7">
                  <c:v>59373.929999999993</c:v>
                </c:pt>
                <c:pt idx="8">
                  <c:v>84815.87000000001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9C-45CD-8AEA-187A5259ECE2}"/>
            </c:ext>
          </c:extLst>
        </c:ser>
        <c:ser>
          <c:idx val="3"/>
          <c:order val="3"/>
          <c:tx>
            <c:strRef>
              <c:f>'2022财报'!$W$2:$W$4</c:f>
              <c:strCache>
                <c:ptCount val="3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'2022财报'!$W$6:$W$14</c:f>
              <c:numCache>
                <c:formatCode>0.00_ </c:formatCode>
                <c:ptCount val="9"/>
                <c:pt idx="0">
                  <c:v>96008.430000000008</c:v>
                </c:pt>
                <c:pt idx="1">
                  <c:v>-68662.78</c:v>
                </c:pt>
                <c:pt idx="2">
                  <c:v>565.24000000001979</c:v>
                </c:pt>
                <c:pt idx="3">
                  <c:v>-153598.51</c:v>
                </c:pt>
                <c:pt idx="4">
                  <c:v>-170321.2</c:v>
                </c:pt>
                <c:pt idx="5">
                  <c:v>304109.39999999997</c:v>
                </c:pt>
                <c:pt idx="6">
                  <c:v>53668.770000000011</c:v>
                </c:pt>
                <c:pt idx="7">
                  <c:v>176157.38999999998</c:v>
                </c:pt>
                <c:pt idx="8">
                  <c:v>157179.65000000002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9C-45CD-8AEA-187A5259E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74224"/>
        <c:axId val="186767072"/>
      </c:lineChart>
      <c:catAx>
        <c:axId val="1811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67072"/>
        <c:crosses val="autoZero"/>
        <c:auto val="1"/>
        <c:lblAlgn val="ctr"/>
        <c:lblOffset val="100"/>
        <c:noMultiLvlLbl val="0"/>
      </c:catAx>
      <c:valAx>
        <c:axId val="1867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</a:t>
            </a:r>
            <a:r>
              <a:rPr lang="zh-CN"/>
              <a:t>月支出分布图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451151265949416"/>
          <c:y val="0.10664486261517597"/>
          <c:w val="0.72782684654439778"/>
          <c:h val="0.74559445170974337"/>
        </c:manualLayout>
      </c:layout>
      <c:pieChart>
        <c:varyColors val="1"/>
        <c:ser>
          <c:idx val="0"/>
          <c:order val="0"/>
          <c:tx>
            <c:strRef>
              <c:f>'2022财报'!$F$2:$V$2</c:f>
              <c:strCache>
                <c:ptCount val="17"/>
                <c:pt idx="0">
                  <c:v>支出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8F-4C88-A203-741BD631CE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C-4FF7-ABDD-F99A759558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8F-4C88-A203-741BD631CE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8F-4C88-A203-741BD631CE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3C-4FF7-ABDD-F99A7595586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3C-4FF7-ABDD-F99A7595586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8F-4C88-A203-741BD631CE1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D8F-4C88-A203-741BD631CE1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D8F-4C88-A203-741BD631CE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('2022财报'!$AC$6,'2022财报'!$J$4:$U$4)</c15:sqref>
                  </c15:fullRef>
                </c:ext>
              </c:extLst>
              <c:f>('2022财报'!$AC$6,'2022财报'!$L$4,'2022财报'!$N$4:$S$4,'2022财报'!$U$4)</c:f>
              <c:strCache>
                <c:ptCount val="9"/>
                <c:pt idx="0">
                  <c:v>工资及社保</c:v>
                </c:pt>
                <c:pt idx="1">
                  <c:v>浙商利息</c:v>
                </c:pt>
                <c:pt idx="2">
                  <c:v>返利</c:v>
                </c:pt>
                <c:pt idx="3">
                  <c:v>产品、设备及运费</c:v>
                </c:pt>
                <c:pt idx="4">
                  <c:v>招聘</c:v>
                </c:pt>
                <c:pt idx="5">
                  <c:v>招待、餐费</c:v>
                </c:pt>
                <c:pt idx="6">
                  <c:v>差旅</c:v>
                </c:pt>
                <c:pt idx="7">
                  <c:v>日常办公</c:v>
                </c:pt>
                <c:pt idx="8">
                  <c:v>对私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'2022财报'!$I$14:$U$14</c15:sqref>
                  </c15:fullRef>
                </c:ext>
              </c:extLst>
              <c:f>('2022财报'!$I$14,'2022财报'!$L$14,'2022财报'!$N$14:$S$14,'2022财报'!$U$14)</c:f>
              <c:numCache>
                <c:formatCode>0.00_ </c:formatCode>
                <c:ptCount val="9"/>
                <c:pt idx="0">
                  <c:v>130629.67</c:v>
                </c:pt>
                <c:pt idx="1">
                  <c:v>7179.51</c:v>
                </c:pt>
                <c:pt idx="2">
                  <c:v>2818.5</c:v>
                </c:pt>
                <c:pt idx="3" formatCode="General">
                  <c:v>7800</c:v>
                </c:pt>
                <c:pt idx="4" formatCode="General">
                  <c:v>4500</c:v>
                </c:pt>
                <c:pt idx="5" formatCode="General">
                  <c:v>7200</c:v>
                </c:pt>
                <c:pt idx="6" formatCode="General">
                  <c:v>27085.56</c:v>
                </c:pt>
                <c:pt idx="7" formatCode="General">
                  <c:v>24349.360000000001</c:v>
                </c:pt>
                <c:pt idx="8" formatCode="General">
                  <c:v>3737.3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9-D3F1-40D5-9FCE-D68FF7AF63C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15240</xdr:colOff>
      <xdr:row>0</xdr:row>
      <xdr:rowOff>0</xdr:rowOff>
    </xdr:from>
    <xdr:ext cx="3642360" cy="1447800"/>
    <xdr:pic>
      <xdr:nvPicPr>
        <xdr:cNvPr id="2" name="图片 1">
          <a:extLst>
            <a:ext uri="{FF2B5EF4-FFF2-40B4-BE49-F238E27FC236}">
              <a16:creationId xmlns:a16="http://schemas.microsoft.com/office/drawing/2014/main" id="{A7B3A188-98F5-42B3-8411-1FD349745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4840" y="0"/>
          <a:ext cx="364236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236220</xdr:colOff>
      <xdr:row>0</xdr:row>
      <xdr:rowOff>0</xdr:rowOff>
    </xdr:from>
    <xdr:ext cx="3611880" cy="1447800"/>
    <xdr:pic>
      <xdr:nvPicPr>
        <xdr:cNvPr id="3" name="图片 2">
          <a:extLst>
            <a:ext uri="{FF2B5EF4-FFF2-40B4-BE49-F238E27FC236}">
              <a16:creationId xmlns:a16="http://schemas.microsoft.com/office/drawing/2014/main" id="{46EAE0D6-76E8-4C16-9EFD-0A2556535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4820" y="0"/>
          <a:ext cx="361188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15240</xdr:colOff>
      <xdr:row>7</xdr:row>
      <xdr:rowOff>114300</xdr:rowOff>
    </xdr:from>
    <xdr:ext cx="3604260" cy="2141220"/>
    <xdr:pic>
      <xdr:nvPicPr>
        <xdr:cNvPr id="4" name="图片 2">
          <a:extLst>
            <a:ext uri="{FF2B5EF4-FFF2-40B4-BE49-F238E27FC236}">
              <a16:creationId xmlns:a16="http://schemas.microsoft.com/office/drawing/2014/main" id="{8287B036-2AB2-44B7-A40B-404BE1214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4840" y="1341120"/>
          <a:ext cx="3604260" cy="2141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213360</xdr:colOff>
      <xdr:row>7</xdr:row>
      <xdr:rowOff>99060</xdr:rowOff>
    </xdr:from>
    <xdr:ext cx="3505200" cy="1447800"/>
    <xdr:pic>
      <xdr:nvPicPr>
        <xdr:cNvPr id="5" name="图片 4">
          <a:extLst>
            <a:ext uri="{FF2B5EF4-FFF2-40B4-BE49-F238E27FC236}">
              <a16:creationId xmlns:a16="http://schemas.microsoft.com/office/drawing/2014/main" id="{ADC59894-0158-4925-82C3-D3CE504AB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1960" y="1325880"/>
          <a:ext cx="3505200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152400</xdr:colOff>
      <xdr:row>14</xdr:row>
      <xdr:rowOff>182880</xdr:rowOff>
    </xdr:from>
    <xdr:ext cx="3467100" cy="1272540"/>
    <xdr:pic>
      <xdr:nvPicPr>
        <xdr:cNvPr id="6" name="图片 1">
          <a:extLst>
            <a:ext uri="{FF2B5EF4-FFF2-40B4-BE49-F238E27FC236}">
              <a16:creationId xmlns:a16="http://schemas.microsoft.com/office/drawing/2014/main" id="{45BAE0D0-EE4D-45E2-B1BB-6D270B13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0" y="2628900"/>
          <a:ext cx="3467100" cy="1272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0</xdr:colOff>
      <xdr:row>19</xdr:row>
      <xdr:rowOff>0</xdr:rowOff>
    </xdr:from>
    <xdr:ext cx="3520440" cy="1630680"/>
    <xdr:pic>
      <xdr:nvPicPr>
        <xdr:cNvPr id="7" name="图片 1">
          <a:extLst>
            <a:ext uri="{FF2B5EF4-FFF2-40B4-BE49-F238E27FC236}">
              <a16:creationId xmlns:a16="http://schemas.microsoft.com/office/drawing/2014/main" id="{8486EEEC-4AAA-4AE1-B9C8-E3FC0FE4E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3329940"/>
          <a:ext cx="3520440" cy="1630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114300</xdr:colOff>
      <xdr:row>25</xdr:row>
      <xdr:rowOff>83820</xdr:rowOff>
    </xdr:from>
    <xdr:ext cx="3627120" cy="1280160"/>
    <xdr:pic>
      <xdr:nvPicPr>
        <xdr:cNvPr id="8" name="图片 1">
          <a:extLst>
            <a:ext uri="{FF2B5EF4-FFF2-40B4-BE49-F238E27FC236}">
              <a16:creationId xmlns:a16="http://schemas.microsoft.com/office/drawing/2014/main" id="{3B8AAC73-6516-4E9A-82A0-55DDDE177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72900" y="4465320"/>
          <a:ext cx="3627120" cy="1280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83820</xdr:colOff>
      <xdr:row>27</xdr:row>
      <xdr:rowOff>68580</xdr:rowOff>
    </xdr:from>
    <xdr:ext cx="3642360" cy="2720340"/>
    <xdr:pic>
      <xdr:nvPicPr>
        <xdr:cNvPr id="9" name="图片 2">
          <a:extLst>
            <a:ext uri="{FF2B5EF4-FFF2-40B4-BE49-F238E27FC236}">
              <a16:creationId xmlns:a16="http://schemas.microsoft.com/office/drawing/2014/main" id="{77E05480-F5E9-45D1-A384-9E65E5572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3420" y="4800600"/>
          <a:ext cx="3642360" cy="2720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0</xdr:colOff>
      <xdr:row>41</xdr:row>
      <xdr:rowOff>160020</xdr:rowOff>
    </xdr:from>
    <xdr:ext cx="3627120" cy="1661160"/>
    <xdr:pic>
      <xdr:nvPicPr>
        <xdr:cNvPr id="10" name="图片 2">
          <a:extLst>
            <a:ext uri="{FF2B5EF4-FFF2-40B4-BE49-F238E27FC236}">
              <a16:creationId xmlns:a16="http://schemas.microsoft.com/office/drawing/2014/main" id="{7928BBEC-4F80-432E-9019-45ACF765B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7345680"/>
          <a:ext cx="3627120" cy="1661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114300</xdr:colOff>
      <xdr:row>32</xdr:row>
      <xdr:rowOff>30480</xdr:rowOff>
    </xdr:from>
    <xdr:ext cx="3512820" cy="2529840"/>
    <xdr:pic>
      <xdr:nvPicPr>
        <xdr:cNvPr id="11" name="图片 3">
          <a:extLst>
            <a:ext uri="{FF2B5EF4-FFF2-40B4-BE49-F238E27FC236}">
              <a16:creationId xmlns:a16="http://schemas.microsoft.com/office/drawing/2014/main" id="{054D81F8-11F3-4747-88DC-390904DE9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72900" y="5638800"/>
          <a:ext cx="3512820" cy="2529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76200</xdr:colOff>
      <xdr:row>21</xdr:row>
      <xdr:rowOff>76200</xdr:rowOff>
    </xdr:from>
    <xdr:ext cx="3665220" cy="800100"/>
    <xdr:pic>
      <xdr:nvPicPr>
        <xdr:cNvPr id="12" name="图片 4">
          <a:extLst>
            <a:ext uri="{FF2B5EF4-FFF2-40B4-BE49-F238E27FC236}">
              <a16:creationId xmlns:a16="http://schemas.microsoft.com/office/drawing/2014/main" id="{C35FC6D0-BA64-46AC-BFF5-A9B80EE83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3756660"/>
          <a:ext cx="366522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83820</xdr:colOff>
      <xdr:row>45</xdr:row>
      <xdr:rowOff>7620</xdr:rowOff>
    </xdr:from>
    <xdr:ext cx="3566160" cy="1394460"/>
    <xdr:pic>
      <xdr:nvPicPr>
        <xdr:cNvPr id="13" name="图片 1">
          <a:extLst>
            <a:ext uri="{FF2B5EF4-FFF2-40B4-BE49-F238E27FC236}">
              <a16:creationId xmlns:a16="http://schemas.microsoft.com/office/drawing/2014/main" id="{C1839220-CD35-426C-BC2F-19214BE65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2420" y="7894320"/>
          <a:ext cx="3566160" cy="1394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182880</xdr:colOff>
      <xdr:row>50</xdr:row>
      <xdr:rowOff>0</xdr:rowOff>
    </xdr:from>
    <xdr:ext cx="3017520" cy="548640"/>
    <xdr:pic>
      <xdr:nvPicPr>
        <xdr:cNvPr id="14" name="图片 1">
          <a:extLst>
            <a:ext uri="{FF2B5EF4-FFF2-40B4-BE49-F238E27FC236}">
              <a16:creationId xmlns:a16="http://schemas.microsoft.com/office/drawing/2014/main" id="{F289B329-8ADB-46B8-8881-27FABCC58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2480" y="8763000"/>
          <a:ext cx="301752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0</xdr:colOff>
      <xdr:row>53</xdr:row>
      <xdr:rowOff>0</xdr:rowOff>
    </xdr:from>
    <xdr:ext cx="4114800" cy="2369820"/>
    <xdr:pic>
      <xdr:nvPicPr>
        <xdr:cNvPr id="15" name="图片 1">
          <a:extLst>
            <a:ext uri="{FF2B5EF4-FFF2-40B4-BE49-F238E27FC236}">
              <a16:creationId xmlns:a16="http://schemas.microsoft.com/office/drawing/2014/main" id="{051F5EB0-C261-42DD-9784-A555F98BB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9288780"/>
          <a:ext cx="4114800" cy="2369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7620</xdr:colOff>
      <xdr:row>52</xdr:row>
      <xdr:rowOff>129540</xdr:rowOff>
    </xdr:from>
    <xdr:ext cx="4053840" cy="792480"/>
    <xdr:pic>
      <xdr:nvPicPr>
        <xdr:cNvPr id="16" name="图片 1">
          <a:extLst>
            <a:ext uri="{FF2B5EF4-FFF2-40B4-BE49-F238E27FC236}">
              <a16:creationId xmlns:a16="http://schemas.microsoft.com/office/drawing/2014/main" id="{A505188A-F1D0-40EB-8B85-FD2CF5830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6220" y="9243060"/>
          <a:ext cx="4053840" cy="792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0</xdr:colOff>
      <xdr:row>57</xdr:row>
      <xdr:rowOff>0</xdr:rowOff>
    </xdr:from>
    <xdr:ext cx="4160520" cy="1272540"/>
    <xdr:pic>
      <xdr:nvPicPr>
        <xdr:cNvPr id="17" name="图片 1">
          <a:extLst>
            <a:ext uri="{FF2B5EF4-FFF2-40B4-BE49-F238E27FC236}">
              <a16:creationId xmlns:a16="http://schemas.microsoft.com/office/drawing/2014/main" id="{AFE0A396-31C4-4003-B75A-9F6D330B6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0" y="9989820"/>
          <a:ext cx="4160520" cy="1272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0</xdr:colOff>
      <xdr:row>66</xdr:row>
      <xdr:rowOff>0</xdr:rowOff>
    </xdr:from>
    <xdr:ext cx="4183380" cy="647700"/>
    <xdr:pic>
      <xdr:nvPicPr>
        <xdr:cNvPr id="18" name="图片 1">
          <a:extLst>
            <a:ext uri="{FF2B5EF4-FFF2-40B4-BE49-F238E27FC236}">
              <a16:creationId xmlns:a16="http://schemas.microsoft.com/office/drawing/2014/main" id="{31F63574-EF44-4717-BE43-06DDA6419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11567160"/>
          <a:ext cx="418338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83820</xdr:colOff>
      <xdr:row>68</xdr:row>
      <xdr:rowOff>106680</xdr:rowOff>
    </xdr:from>
    <xdr:ext cx="4000500" cy="1783080"/>
    <xdr:pic>
      <xdr:nvPicPr>
        <xdr:cNvPr id="19" name="图片 1">
          <a:extLst>
            <a:ext uri="{FF2B5EF4-FFF2-40B4-BE49-F238E27FC236}">
              <a16:creationId xmlns:a16="http://schemas.microsoft.com/office/drawing/2014/main" id="{B6CA07FC-4107-45AF-9002-67C384970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3060680"/>
          <a:ext cx="4000500" cy="1783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215153</xdr:colOff>
      <xdr:row>21</xdr:row>
      <xdr:rowOff>11975</xdr:rowOff>
    </xdr:from>
    <xdr:to>
      <xdr:col>26</xdr:col>
      <xdr:colOff>754060</xdr:colOff>
      <xdr:row>36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2F25E8F-614D-B866-23D4-423422F63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792480</xdr:colOff>
      <xdr:row>19</xdr:row>
      <xdr:rowOff>116542</xdr:rowOff>
    </xdr:from>
    <xdr:to>
      <xdr:col>33</xdr:col>
      <xdr:colOff>87086</xdr:colOff>
      <xdr:row>38</xdr:row>
      <xdr:rowOff>17930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D814C5E-49E7-BF34-408B-C1868B813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e7adce923b7c6d1/&#24037;&#20316;/&#32654;&#34678;&#27963;&#21160;&#27969;&#2770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汇总"/>
      <sheetName val="分成"/>
      <sheetName val="4月活动"/>
      <sheetName val="5月活动"/>
      <sheetName val="6月活动"/>
      <sheetName val="7月活动"/>
    </sheetNames>
    <sheetDataSet>
      <sheetData sheetId="0"/>
      <sheetData sheetId="1">
        <row r="1">
          <cell r="A1" t="str">
            <v>分成</v>
          </cell>
        </row>
        <row r="2">
          <cell r="B2" t="str">
            <v>门店占比</v>
          </cell>
          <cell r="C2" t="str">
            <v>公司占比</v>
          </cell>
        </row>
        <row r="3">
          <cell r="A3" t="str">
            <v>丹兰养生馆</v>
          </cell>
          <cell r="B3">
            <v>0.5</v>
          </cell>
          <cell r="C3">
            <v>0.5</v>
          </cell>
        </row>
        <row r="4">
          <cell r="A4" t="str">
            <v>中南俏视界</v>
          </cell>
          <cell r="B4">
            <v>0.55000000000000004</v>
          </cell>
          <cell r="C4">
            <v>0.45</v>
          </cell>
        </row>
        <row r="5">
          <cell r="A5" t="str">
            <v>紫愫店</v>
          </cell>
          <cell r="B5">
            <v>0.625</v>
          </cell>
          <cell r="C5">
            <v>0.375</v>
          </cell>
        </row>
        <row r="6">
          <cell r="A6" t="str">
            <v>相城嘉瑞丝</v>
          </cell>
          <cell r="B6">
            <v>0.625</v>
          </cell>
          <cell r="C6">
            <v>0.375</v>
          </cell>
        </row>
        <row r="7">
          <cell r="A7" t="str">
            <v>昆山嘉瑞丝</v>
          </cell>
          <cell r="B7">
            <v>0.625</v>
          </cell>
          <cell r="C7">
            <v>0.375</v>
          </cell>
        </row>
        <row r="8">
          <cell r="A8" t="str">
            <v>赛香妃</v>
          </cell>
          <cell r="B8">
            <v>0.6</v>
          </cell>
          <cell r="C8">
            <v>0.4</v>
          </cell>
        </row>
        <row r="9">
          <cell r="A9" t="str">
            <v>宜兴秀媛堂</v>
          </cell>
          <cell r="B9">
            <v>0.5</v>
          </cell>
          <cell r="C9">
            <v>0.5</v>
          </cell>
        </row>
        <row r="10">
          <cell r="A10" t="str">
            <v>其他门店</v>
          </cell>
          <cell r="B10">
            <v>0.5</v>
          </cell>
          <cell r="C10">
            <v>0.5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841CA-B217-4D88-9C59-BE8E64CC8334}">
  <dimension ref="A1:B2"/>
  <sheetViews>
    <sheetView workbookViewId="0">
      <selection activeCell="F22" sqref="F22"/>
    </sheetView>
  </sheetViews>
  <sheetFormatPr defaultRowHeight="13.8"/>
  <sheetData>
    <row r="1" spans="1:2">
      <c r="A1" t="s">
        <v>385</v>
      </c>
      <c r="B1">
        <v>1000</v>
      </c>
    </row>
    <row r="2" spans="1:2">
      <c r="A2" t="s">
        <v>386</v>
      </c>
      <c r="B2">
        <v>50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C2CD-2EBB-419F-93FB-6B6AC8F0FF77}">
  <dimension ref="A1:G8"/>
  <sheetViews>
    <sheetView workbookViewId="0">
      <selection activeCell="G2" sqref="G2:G8"/>
    </sheetView>
  </sheetViews>
  <sheetFormatPr defaultRowHeight="13.8"/>
  <sheetData>
    <row r="1" spans="1:7" ht="14.4" thickBot="1">
      <c r="A1" s="214">
        <v>7179.51</v>
      </c>
      <c r="B1" s="216"/>
      <c r="C1" s="216"/>
      <c r="D1" s="216"/>
      <c r="E1" s="216"/>
      <c r="F1" s="216"/>
      <c r="G1" s="217"/>
    </row>
    <row r="2" spans="1:7" ht="14.4" thickBot="1">
      <c r="A2" s="215">
        <v>2</v>
      </c>
      <c r="B2" s="213">
        <v>44794</v>
      </c>
      <c r="C2" s="213">
        <v>44825</v>
      </c>
      <c r="D2" s="212">
        <v>0</v>
      </c>
      <c r="E2" s="211">
        <v>7179.51</v>
      </c>
      <c r="F2" s="212">
        <v>0</v>
      </c>
      <c r="G2" s="211">
        <v>7179.51</v>
      </c>
    </row>
    <row r="3" spans="1:7" ht="14.4" thickBot="1">
      <c r="A3" s="215">
        <v>3</v>
      </c>
      <c r="B3" s="213">
        <v>44825</v>
      </c>
      <c r="C3" s="213">
        <v>44855</v>
      </c>
      <c r="D3" s="212">
        <v>0</v>
      </c>
      <c r="E3" s="211">
        <v>6947.92</v>
      </c>
      <c r="F3" s="212">
        <v>0</v>
      </c>
      <c r="G3" s="211">
        <v>6947.92</v>
      </c>
    </row>
    <row r="4" spans="1:7" ht="14.4" thickBot="1">
      <c r="A4" s="215">
        <v>4</v>
      </c>
      <c r="B4" s="213">
        <v>44855</v>
      </c>
      <c r="C4" s="213">
        <v>44886</v>
      </c>
      <c r="D4" s="212">
        <v>0</v>
      </c>
      <c r="E4" s="211">
        <v>7179.51</v>
      </c>
      <c r="F4" s="212">
        <v>0</v>
      </c>
      <c r="G4" s="211">
        <v>7179.51</v>
      </c>
    </row>
    <row r="5" spans="1:7" ht="14.4" thickBot="1">
      <c r="A5" s="215">
        <v>5</v>
      </c>
      <c r="B5" s="213">
        <v>44886</v>
      </c>
      <c r="C5" s="213">
        <v>44916</v>
      </c>
      <c r="D5" s="212">
        <v>0</v>
      </c>
      <c r="E5" s="211">
        <v>6947.92</v>
      </c>
      <c r="F5" s="212">
        <v>0</v>
      </c>
      <c r="G5" s="211">
        <v>6947.92</v>
      </c>
    </row>
    <row r="6" spans="1:7" ht="14.4" thickBot="1">
      <c r="A6" s="215">
        <v>6</v>
      </c>
      <c r="B6" s="213">
        <v>44916</v>
      </c>
      <c r="C6" s="213">
        <v>44947</v>
      </c>
      <c r="D6" s="212">
        <v>0</v>
      </c>
      <c r="E6" s="211">
        <v>7179.51</v>
      </c>
      <c r="F6" s="212">
        <v>0</v>
      </c>
      <c r="G6" s="211">
        <v>7179.51</v>
      </c>
    </row>
    <row r="7" spans="1:7" ht="14.4" thickBot="1">
      <c r="A7" s="215">
        <v>7</v>
      </c>
      <c r="B7" s="213">
        <v>44947</v>
      </c>
      <c r="C7" s="213">
        <v>44978</v>
      </c>
      <c r="D7" s="212">
        <v>0</v>
      </c>
      <c r="E7" s="211">
        <v>7179.51</v>
      </c>
      <c r="F7" s="212">
        <v>0</v>
      </c>
      <c r="G7" s="211">
        <v>7179.51</v>
      </c>
    </row>
    <row r="8" spans="1:7" ht="14.4" thickBot="1">
      <c r="A8" s="215">
        <v>8</v>
      </c>
      <c r="B8" s="213">
        <v>44978</v>
      </c>
      <c r="C8" s="213">
        <v>44988</v>
      </c>
      <c r="D8" s="211">
        <v>1450000</v>
      </c>
      <c r="E8" s="211">
        <v>2315.9699999999998</v>
      </c>
      <c r="F8" s="212">
        <v>0</v>
      </c>
      <c r="G8" s="211">
        <v>1452315.97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1030B-9C2B-400F-96D1-45A1708F2539}">
  <dimension ref="A1:P152"/>
  <sheetViews>
    <sheetView workbookViewId="0">
      <pane ySplit="4" topLeftCell="A59" activePane="bottomLeft" state="frozen"/>
      <selection pane="bottomLeft" activeCell="H68" sqref="H68"/>
    </sheetView>
  </sheetViews>
  <sheetFormatPr defaultColWidth="9.109375" defaultRowHeight="13.8"/>
  <cols>
    <col min="1" max="2" width="9.109375" style="157"/>
    <col min="3" max="3" width="25.109375" style="157" customWidth="1"/>
    <col min="4" max="4" width="11.88671875" style="157" customWidth="1"/>
    <col min="5" max="7" width="9.109375" style="157"/>
    <col min="8" max="8" width="18.33203125" style="157" customWidth="1"/>
    <col min="9" max="10" width="9.109375" style="157"/>
    <col min="11" max="11" width="11.33203125" style="157" customWidth="1"/>
    <col min="12" max="12" width="21.88671875" style="157" customWidth="1"/>
    <col min="13" max="13" width="10.88671875" style="157" customWidth="1"/>
    <col min="14" max="16384" width="9.109375" style="157"/>
  </cols>
  <sheetData>
    <row r="1" spans="1:16" ht="24" thickBot="1">
      <c r="A1" s="316" t="s">
        <v>316</v>
      </c>
      <c r="B1" s="317"/>
      <c r="C1" s="317"/>
      <c r="D1" s="317"/>
      <c r="E1" s="317"/>
      <c r="F1" s="317"/>
      <c r="G1" s="317"/>
      <c r="H1" s="318"/>
      <c r="I1" s="317"/>
      <c r="J1" s="317"/>
      <c r="K1" s="317"/>
      <c r="L1" s="317"/>
      <c r="M1" s="317"/>
      <c r="N1" s="317"/>
      <c r="O1" s="317"/>
      <c r="P1" s="319"/>
    </row>
    <row r="2" spans="1:16" ht="23.4">
      <c r="A2" s="158"/>
      <c r="B2" s="320" t="s">
        <v>317</v>
      </c>
      <c r="C2" s="320"/>
      <c r="D2" s="321"/>
      <c r="E2" s="320"/>
      <c r="F2" s="320"/>
      <c r="G2" s="320"/>
      <c r="H2" s="320"/>
      <c r="I2" s="322"/>
      <c r="J2" s="320"/>
      <c r="K2" s="323"/>
      <c r="L2" s="324" t="s">
        <v>318</v>
      </c>
      <c r="M2" s="324"/>
      <c r="N2" s="159"/>
      <c r="O2" s="325" t="s">
        <v>319</v>
      </c>
      <c r="P2" s="326"/>
    </row>
    <row r="3" spans="1:16" ht="23.4">
      <c r="A3" s="327" t="s">
        <v>320</v>
      </c>
      <c r="B3" s="328"/>
      <c r="C3" s="329"/>
      <c r="D3" s="330"/>
      <c r="E3" s="328"/>
      <c r="F3" s="328"/>
      <c r="G3" s="328"/>
      <c r="H3" s="329"/>
      <c r="I3" s="160"/>
      <c r="J3" s="328" t="s">
        <v>321</v>
      </c>
      <c r="K3" s="328"/>
      <c r="L3" s="329"/>
      <c r="M3" s="330"/>
      <c r="N3" s="328"/>
      <c r="O3" s="328"/>
      <c r="P3" s="328"/>
    </row>
    <row r="4" spans="1:16" ht="32.4">
      <c r="A4" s="161" t="s">
        <v>322</v>
      </c>
      <c r="B4" s="162" t="s">
        <v>323</v>
      </c>
      <c r="C4" s="162" t="s">
        <v>324</v>
      </c>
      <c r="D4" s="163" t="s">
        <v>325</v>
      </c>
      <c r="E4" s="162" t="s">
        <v>326</v>
      </c>
      <c r="F4" s="162" t="s">
        <v>327</v>
      </c>
      <c r="G4" s="162" t="s">
        <v>328</v>
      </c>
      <c r="H4" s="164" t="s">
        <v>85</v>
      </c>
      <c r="I4" s="165" t="s">
        <v>329</v>
      </c>
      <c r="J4" s="166" t="s">
        <v>322</v>
      </c>
      <c r="K4" s="162" t="s">
        <v>323</v>
      </c>
      <c r="L4" s="162" t="s">
        <v>324</v>
      </c>
      <c r="M4" s="163" t="s">
        <v>325</v>
      </c>
      <c r="N4" s="162" t="s">
        <v>326</v>
      </c>
      <c r="O4" s="162" t="s">
        <v>330</v>
      </c>
      <c r="P4" s="167" t="s">
        <v>85</v>
      </c>
    </row>
    <row r="5" spans="1:16" ht="20.100000000000001" customHeight="1">
      <c r="A5" s="168"/>
      <c r="B5" s="168" t="s">
        <v>287</v>
      </c>
      <c r="C5" s="169" t="s">
        <v>331</v>
      </c>
      <c r="D5" s="169">
        <v>360</v>
      </c>
      <c r="E5" s="168"/>
      <c r="F5" s="168"/>
      <c r="G5" s="168"/>
      <c r="H5" s="168"/>
      <c r="I5" s="305">
        <v>1</v>
      </c>
      <c r="J5" s="168"/>
      <c r="K5" s="168" t="s">
        <v>332</v>
      </c>
      <c r="L5" s="169" t="s">
        <v>333</v>
      </c>
      <c r="M5" s="169">
        <f>9017.74-2758-50</f>
        <v>6209.74</v>
      </c>
      <c r="N5" s="168"/>
      <c r="O5" s="168"/>
      <c r="P5" s="168"/>
    </row>
    <row r="6" spans="1:16" ht="20.100000000000001" customHeight="1">
      <c r="A6" s="168"/>
      <c r="B6" s="168" t="s">
        <v>334</v>
      </c>
      <c r="C6" s="169" t="s">
        <v>335</v>
      </c>
      <c r="D6" s="169">
        <v>193</v>
      </c>
      <c r="E6" s="168"/>
      <c r="F6" s="168"/>
      <c r="G6" s="168"/>
      <c r="H6" s="168"/>
      <c r="I6" s="306"/>
      <c r="J6" s="168"/>
      <c r="K6" s="168" t="s">
        <v>287</v>
      </c>
      <c r="L6" s="169" t="s">
        <v>336</v>
      </c>
      <c r="M6" s="169">
        <v>96.4</v>
      </c>
      <c r="N6" s="168"/>
      <c r="O6" s="168"/>
      <c r="P6" s="168"/>
    </row>
    <row r="7" spans="1:16" ht="20.100000000000001" customHeight="1">
      <c r="A7" s="168"/>
      <c r="B7" s="305" t="s">
        <v>288</v>
      </c>
      <c r="C7" s="169" t="s">
        <v>337</v>
      </c>
      <c r="D7" s="169">
        <v>549</v>
      </c>
      <c r="E7" s="168"/>
      <c r="F7" s="168"/>
      <c r="G7" s="168"/>
      <c r="H7" s="168"/>
      <c r="I7" s="306"/>
      <c r="J7" s="168"/>
      <c r="K7" s="168" t="s">
        <v>288</v>
      </c>
      <c r="L7" s="169" t="s">
        <v>336</v>
      </c>
      <c r="M7" s="169">
        <v>12</v>
      </c>
      <c r="N7" s="168"/>
      <c r="O7" s="168"/>
      <c r="P7" s="168"/>
    </row>
    <row r="8" spans="1:16" ht="20.100000000000001" customHeight="1">
      <c r="A8" s="168"/>
      <c r="B8" s="307"/>
      <c r="C8" s="169" t="s">
        <v>338</v>
      </c>
      <c r="D8" s="169">
        <v>51.6</v>
      </c>
      <c r="E8" s="168"/>
      <c r="F8" s="168"/>
      <c r="G8" s="168"/>
      <c r="H8" s="168"/>
      <c r="I8" s="306"/>
      <c r="J8" s="168"/>
      <c r="K8" s="168"/>
      <c r="L8" s="168"/>
      <c r="M8" s="168"/>
      <c r="N8" s="168"/>
      <c r="O8" s="168"/>
      <c r="P8" s="168"/>
    </row>
    <row r="9" spans="1:16" ht="20.100000000000001" customHeight="1">
      <c r="A9" s="168"/>
      <c r="B9" s="305" t="s">
        <v>332</v>
      </c>
      <c r="C9" s="169" t="s">
        <v>339</v>
      </c>
      <c r="D9" s="169">
        <v>2758</v>
      </c>
      <c r="E9" s="168"/>
      <c r="F9" s="168"/>
      <c r="G9" s="168"/>
      <c r="H9" s="168"/>
      <c r="I9" s="306"/>
      <c r="J9" s="168"/>
      <c r="K9" s="168"/>
      <c r="L9" s="168"/>
      <c r="M9" s="168"/>
      <c r="N9" s="168"/>
      <c r="O9" s="168"/>
      <c r="P9" s="168"/>
    </row>
    <row r="10" spans="1:16" ht="20.100000000000001" customHeight="1">
      <c r="A10" s="168"/>
      <c r="B10" s="307"/>
      <c r="C10" s="169" t="s">
        <v>340</v>
      </c>
      <c r="D10" s="169">
        <v>50</v>
      </c>
      <c r="E10" s="168"/>
      <c r="F10" s="168"/>
      <c r="G10" s="168"/>
      <c r="H10" s="168"/>
      <c r="I10" s="306"/>
      <c r="J10" s="168"/>
      <c r="K10" s="168"/>
      <c r="L10" s="168"/>
      <c r="M10" s="168"/>
      <c r="N10" s="168"/>
      <c r="O10" s="168"/>
      <c r="P10" s="168"/>
    </row>
    <row r="11" spans="1:16" ht="20.100000000000001" customHeight="1">
      <c r="A11" s="168"/>
      <c r="B11" s="168"/>
      <c r="C11" s="168"/>
      <c r="D11" s="168"/>
      <c r="E11" s="168"/>
      <c r="F11" s="168"/>
      <c r="G11" s="168"/>
      <c r="H11" s="168"/>
      <c r="I11" s="306"/>
      <c r="J11" s="168"/>
      <c r="K11" s="168"/>
      <c r="L11" s="168"/>
      <c r="M11" s="168"/>
      <c r="N11" s="168"/>
      <c r="O11" s="168"/>
      <c r="P11" s="168"/>
    </row>
    <row r="12" spans="1:16" ht="20.100000000000001" customHeight="1">
      <c r="A12" s="168"/>
      <c r="B12" s="168" t="s">
        <v>341</v>
      </c>
      <c r="C12" s="168" t="s">
        <v>342</v>
      </c>
      <c r="D12" s="168">
        <v>1413.7</v>
      </c>
      <c r="E12" s="168"/>
      <c r="F12" s="168"/>
      <c r="G12" s="168">
        <v>1</v>
      </c>
      <c r="H12" s="168"/>
      <c r="I12" s="305">
        <v>2</v>
      </c>
      <c r="J12" s="168"/>
      <c r="K12" s="168"/>
      <c r="L12" s="168"/>
      <c r="M12" s="168"/>
      <c r="N12" s="168"/>
      <c r="O12" s="168"/>
      <c r="P12" s="168"/>
    </row>
    <row r="13" spans="1:16" ht="20.100000000000001" customHeight="1">
      <c r="A13" s="168"/>
      <c r="B13" s="305" t="s">
        <v>332</v>
      </c>
      <c r="C13" s="168" t="s">
        <v>339</v>
      </c>
      <c r="D13" s="168">
        <v>2983</v>
      </c>
      <c r="E13" s="168"/>
      <c r="F13" s="168"/>
      <c r="G13" s="168">
        <v>1</v>
      </c>
      <c r="H13" s="168"/>
      <c r="I13" s="306"/>
      <c r="J13" s="168"/>
      <c r="K13" s="168"/>
      <c r="L13" s="168"/>
      <c r="M13" s="168"/>
      <c r="N13" s="168"/>
      <c r="O13" s="168"/>
      <c r="P13" s="168"/>
    </row>
    <row r="14" spans="1:16" ht="20.100000000000001" customHeight="1">
      <c r="A14" s="168"/>
      <c r="B14" s="306"/>
      <c r="C14" s="168" t="s">
        <v>337</v>
      </c>
      <c r="D14" s="168">
        <v>2200</v>
      </c>
      <c r="E14" s="168"/>
      <c r="F14" s="168"/>
      <c r="G14" s="168">
        <v>1</v>
      </c>
      <c r="H14" s="168"/>
      <c r="I14" s="306"/>
      <c r="J14" s="168"/>
      <c r="K14" s="168"/>
      <c r="L14" s="168"/>
      <c r="M14" s="168"/>
      <c r="N14" s="168"/>
      <c r="O14" s="168"/>
      <c r="P14" s="168"/>
    </row>
    <row r="15" spans="1:16" ht="20.100000000000001" customHeight="1">
      <c r="A15" s="168"/>
      <c r="B15" s="306"/>
      <c r="C15" s="168" t="s">
        <v>340</v>
      </c>
      <c r="D15" s="168">
        <v>10</v>
      </c>
      <c r="E15" s="168"/>
      <c r="F15" s="168"/>
      <c r="G15" s="168">
        <v>1</v>
      </c>
      <c r="H15" s="168"/>
      <c r="I15" s="306"/>
      <c r="J15" s="168"/>
      <c r="K15" s="168"/>
      <c r="L15" s="168"/>
      <c r="M15" s="168"/>
      <c r="N15" s="168"/>
      <c r="O15" s="168"/>
      <c r="P15" s="168"/>
    </row>
    <row r="16" spans="1:16" ht="20.100000000000001" customHeight="1">
      <c r="A16" s="170"/>
      <c r="B16" s="306"/>
      <c r="C16" s="170" t="s">
        <v>331</v>
      </c>
      <c r="D16" s="170">
        <v>300</v>
      </c>
      <c r="E16" s="170"/>
      <c r="F16" s="170"/>
      <c r="G16" s="170">
        <v>1</v>
      </c>
      <c r="H16" s="170"/>
      <c r="I16" s="306"/>
      <c r="J16" s="170"/>
      <c r="K16" s="170"/>
      <c r="L16" s="170"/>
      <c r="M16" s="170"/>
      <c r="N16" s="170"/>
      <c r="O16" s="170"/>
      <c r="P16" s="170"/>
    </row>
    <row r="17" spans="1:16" ht="20.100000000000001" customHeight="1">
      <c r="A17" s="168">
        <v>10</v>
      </c>
      <c r="B17" s="168" t="s">
        <v>343</v>
      </c>
      <c r="C17" s="168" t="s">
        <v>344</v>
      </c>
      <c r="D17" s="168">
        <v>358</v>
      </c>
      <c r="E17" s="168">
        <v>0</v>
      </c>
      <c r="F17" s="168">
        <v>1</v>
      </c>
      <c r="G17" s="168">
        <v>1</v>
      </c>
      <c r="H17" s="168"/>
      <c r="I17" s="305">
        <v>3</v>
      </c>
      <c r="J17" s="168">
        <v>2</v>
      </c>
      <c r="K17" s="168" t="s">
        <v>345</v>
      </c>
      <c r="L17" s="169" t="s">
        <v>346</v>
      </c>
      <c r="M17" s="169">
        <v>700</v>
      </c>
      <c r="N17" s="168">
        <v>7</v>
      </c>
      <c r="O17" s="168">
        <v>1</v>
      </c>
      <c r="P17" s="168"/>
    </row>
    <row r="18" spans="1:16" ht="20.100000000000001" customHeight="1">
      <c r="A18" s="168">
        <v>26</v>
      </c>
      <c r="B18" s="168" t="s">
        <v>347</v>
      </c>
      <c r="C18" s="168" t="s">
        <v>348</v>
      </c>
      <c r="D18" s="168">
        <v>253.52</v>
      </c>
      <c r="E18" s="168">
        <v>8</v>
      </c>
      <c r="F18" s="168">
        <v>1</v>
      </c>
      <c r="G18" s="168">
        <v>1</v>
      </c>
      <c r="H18" s="168"/>
      <c r="I18" s="306"/>
      <c r="J18" s="168">
        <v>9</v>
      </c>
      <c r="K18" s="168" t="s">
        <v>345</v>
      </c>
      <c r="L18" s="169" t="s">
        <v>349</v>
      </c>
      <c r="M18" s="169">
        <v>470.25</v>
      </c>
      <c r="N18" s="168" t="s">
        <v>349</v>
      </c>
      <c r="O18" s="168">
        <v>1</v>
      </c>
      <c r="P18" s="168"/>
    </row>
    <row r="19" spans="1:16" ht="20.100000000000001" customHeight="1">
      <c r="A19" s="168">
        <v>28</v>
      </c>
      <c r="B19" s="168" t="s">
        <v>350</v>
      </c>
      <c r="C19" s="168" t="s">
        <v>351</v>
      </c>
      <c r="D19" s="168">
        <v>574.9</v>
      </c>
      <c r="E19" s="168">
        <v>9</v>
      </c>
      <c r="F19" s="168">
        <v>1</v>
      </c>
      <c r="G19" s="168">
        <v>1</v>
      </c>
      <c r="H19" s="168"/>
      <c r="I19" s="306"/>
      <c r="J19" s="168"/>
      <c r="K19" s="168"/>
      <c r="L19" s="168" t="s">
        <v>352</v>
      </c>
      <c r="M19" s="168">
        <v>350.25</v>
      </c>
      <c r="N19" s="168">
        <v>7</v>
      </c>
      <c r="O19" s="168" t="s">
        <v>349</v>
      </c>
      <c r="P19" s="168"/>
    </row>
    <row r="20" spans="1:16" ht="20.100000000000001" customHeight="1">
      <c r="A20" s="168">
        <v>28</v>
      </c>
      <c r="B20" s="168" t="s">
        <v>350</v>
      </c>
      <c r="C20" s="168" t="s">
        <v>349</v>
      </c>
      <c r="D20" s="168">
        <f>SUM(D21:D24)</f>
        <v>9084.7799999999988</v>
      </c>
      <c r="E20" s="168" t="s">
        <v>349</v>
      </c>
      <c r="F20" s="168">
        <v>1</v>
      </c>
      <c r="G20" s="168">
        <v>1</v>
      </c>
      <c r="H20" s="168"/>
      <c r="I20" s="306"/>
      <c r="J20" s="168"/>
      <c r="K20" s="168"/>
      <c r="L20" s="168" t="s">
        <v>353</v>
      </c>
      <c r="M20" s="168">
        <v>120</v>
      </c>
      <c r="N20" s="168">
        <v>2</v>
      </c>
      <c r="O20" s="168" t="s">
        <v>349</v>
      </c>
      <c r="P20" s="168"/>
    </row>
    <row r="21" spans="1:16" ht="20.100000000000001" customHeight="1">
      <c r="A21" s="168"/>
      <c r="B21" s="168"/>
      <c r="C21" s="168" t="s">
        <v>354</v>
      </c>
      <c r="D21" s="168">
        <f>3000+62.32</f>
        <v>3062.32</v>
      </c>
      <c r="E21" s="168">
        <v>9</v>
      </c>
      <c r="F21" s="168">
        <v>1</v>
      </c>
      <c r="G21" s="168" t="s">
        <v>349</v>
      </c>
      <c r="H21" s="168"/>
      <c r="I21" s="306"/>
      <c r="J21" s="168">
        <v>16</v>
      </c>
      <c r="K21" s="168" t="s">
        <v>350</v>
      </c>
      <c r="L21" s="169" t="s">
        <v>355</v>
      </c>
      <c r="M21" s="169">
        <v>6904.26</v>
      </c>
      <c r="N21" s="168">
        <v>9</v>
      </c>
      <c r="O21" s="168">
        <v>1</v>
      </c>
      <c r="P21" s="168"/>
    </row>
    <row r="22" spans="1:16" ht="20.100000000000001" customHeight="1">
      <c r="A22" s="168"/>
      <c r="B22" s="168"/>
      <c r="C22" s="168" t="s">
        <v>356</v>
      </c>
      <c r="D22" s="168">
        <v>5099</v>
      </c>
      <c r="E22" s="168">
        <v>2</v>
      </c>
      <c r="F22" s="168">
        <v>1</v>
      </c>
      <c r="G22" s="168" t="s">
        <v>349</v>
      </c>
      <c r="H22" s="168"/>
      <c r="I22" s="306"/>
      <c r="J22" s="168">
        <v>12</v>
      </c>
      <c r="K22" s="168" t="s">
        <v>357</v>
      </c>
      <c r="L22" s="169" t="s">
        <v>358</v>
      </c>
      <c r="M22" s="169">
        <v>50</v>
      </c>
      <c r="N22" s="168">
        <v>4</v>
      </c>
      <c r="O22" s="168">
        <v>1</v>
      </c>
      <c r="P22" s="168"/>
    </row>
    <row r="23" spans="1:16" ht="20.100000000000001" customHeight="1">
      <c r="A23" s="168"/>
      <c r="B23" s="168"/>
      <c r="C23" s="168" t="s">
        <v>359</v>
      </c>
      <c r="D23" s="168">
        <v>580.23</v>
      </c>
      <c r="E23" s="168">
        <v>3</v>
      </c>
      <c r="F23" s="168">
        <v>1</v>
      </c>
      <c r="G23" s="168" t="s">
        <v>349</v>
      </c>
      <c r="H23" s="168"/>
      <c r="I23" s="306"/>
      <c r="J23" s="168"/>
      <c r="K23" s="168"/>
      <c r="L23" s="168"/>
      <c r="M23" s="168"/>
      <c r="N23" s="168"/>
      <c r="O23" s="168"/>
      <c r="P23" s="168"/>
    </row>
    <row r="24" spans="1:16" ht="20.100000000000001" customHeight="1">
      <c r="A24" s="168"/>
      <c r="B24" s="168"/>
      <c r="C24" s="168" t="s">
        <v>360</v>
      </c>
      <c r="D24" s="168">
        <v>343.23</v>
      </c>
      <c r="E24" s="168">
        <v>8</v>
      </c>
      <c r="F24" s="168">
        <v>1</v>
      </c>
      <c r="G24" s="168" t="s">
        <v>349</v>
      </c>
      <c r="H24" s="168"/>
      <c r="I24" s="306"/>
      <c r="J24" s="168"/>
      <c r="K24" s="168"/>
      <c r="L24" s="168"/>
      <c r="M24" s="168"/>
      <c r="N24" s="168"/>
      <c r="O24" s="168"/>
      <c r="P24" s="168"/>
    </row>
    <row r="25" spans="1:16" ht="20.100000000000001" customHeight="1">
      <c r="A25" s="168">
        <v>30</v>
      </c>
      <c r="B25" s="168" t="s">
        <v>350</v>
      </c>
      <c r="C25" s="168" t="s">
        <v>361</v>
      </c>
      <c r="D25" s="168">
        <v>445.3</v>
      </c>
      <c r="E25" s="168">
        <v>9</v>
      </c>
      <c r="F25" s="168">
        <v>1</v>
      </c>
      <c r="G25" s="168">
        <v>1</v>
      </c>
      <c r="H25" s="168"/>
      <c r="I25" s="306"/>
      <c r="J25" s="168"/>
      <c r="K25" s="168"/>
      <c r="L25" s="168"/>
      <c r="M25" s="168"/>
      <c r="N25" s="168"/>
      <c r="O25" s="168"/>
      <c r="P25" s="168"/>
    </row>
    <row r="26" spans="1:16" ht="20.100000000000001" customHeight="1">
      <c r="A26" s="168">
        <v>26</v>
      </c>
      <c r="B26" s="168" t="s">
        <v>357</v>
      </c>
      <c r="C26" s="168" t="s">
        <v>362</v>
      </c>
      <c r="D26" s="168">
        <v>12</v>
      </c>
      <c r="E26" s="168">
        <v>0</v>
      </c>
      <c r="F26" s="168">
        <v>1</v>
      </c>
      <c r="G26" s="168">
        <v>1</v>
      </c>
      <c r="H26" s="168"/>
      <c r="I26" s="306"/>
      <c r="J26" s="168"/>
      <c r="K26" s="168"/>
      <c r="L26" s="168"/>
      <c r="M26" s="168"/>
      <c r="N26" s="168"/>
      <c r="O26" s="168"/>
      <c r="P26" s="168"/>
    </row>
    <row r="27" spans="1:16" ht="20.100000000000001" customHeight="1">
      <c r="A27" s="168">
        <v>9</v>
      </c>
      <c r="B27" s="169" t="s">
        <v>345</v>
      </c>
      <c r="C27" s="169" t="s">
        <v>363</v>
      </c>
      <c r="D27" s="169">
        <v>300</v>
      </c>
      <c r="E27" s="168">
        <v>8</v>
      </c>
      <c r="F27" s="168">
        <v>1</v>
      </c>
      <c r="G27" s="168"/>
      <c r="H27" s="168"/>
      <c r="I27" s="306"/>
      <c r="J27" s="168"/>
      <c r="K27" s="168"/>
      <c r="L27" s="168"/>
      <c r="M27" s="168"/>
      <c r="N27" s="168"/>
      <c r="O27" s="168"/>
      <c r="P27" s="168"/>
    </row>
    <row r="28" spans="1:16" ht="20.100000000000001" customHeight="1">
      <c r="A28" s="168">
        <v>8</v>
      </c>
      <c r="B28" s="169" t="s">
        <v>357</v>
      </c>
      <c r="C28" s="169" t="s">
        <v>364</v>
      </c>
      <c r="D28" s="169">
        <v>150.9</v>
      </c>
      <c r="E28" s="168">
        <v>4</v>
      </c>
      <c r="F28" s="168">
        <v>1</v>
      </c>
      <c r="G28" s="168"/>
      <c r="H28" s="168"/>
      <c r="I28" s="306"/>
      <c r="J28" s="168"/>
      <c r="K28" s="168"/>
      <c r="L28" s="168"/>
      <c r="M28" s="168"/>
      <c r="N28" s="168"/>
      <c r="O28" s="168"/>
      <c r="P28" s="168"/>
    </row>
    <row r="29" spans="1:16" ht="20.100000000000001" customHeight="1">
      <c r="A29" s="168">
        <v>2</v>
      </c>
      <c r="B29" s="169" t="s">
        <v>347</v>
      </c>
      <c r="C29" s="169" t="s">
        <v>365</v>
      </c>
      <c r="D29" s="169">
        <v>159.5</v>
      </c>
      <c r="E29" s="168">
        <v>4</v>
      </c>
      <c r="F29" s="168">
        <v>1</v>
      </c>
      <c r="G29" s="168"/>
      <c r="H29" s="168"/>
      <c r="I29" s="306"/>
      <c r="J29" s="168"/>
      <c r="K29" s="168"/>
      <c r="L29" s="168"/>
      <c r="M29" s="168"/>
      <c r="N29" s="168"/>
      <c r="O29" s="168"/>
      <c r="P29" s="168"/>
    </row>
    <row r="30" spans="1:16" ht="20.100000000000001" customHeight="1">
      <c r="A30" s="168">
        <v>8</v>
      </c>
      <c r="B30" s="168" t="s">
        <v>357</v>
      </c>
      <c r="C30" s="168" t="s">
        <v>366</v>
      </c>
      <c r="D30" s="168">
        <v>4028</v>
      </c>
      <c r="E30" s="168">
        <v>7</v>
      </c>
      <c r="F30" s="168">
        <v>1</v>
      </c>
      <c r="G30" s="168">
        <v>1</v>
      </c>
      <c r="H30" s="168"/>
      <c r="I30" s="306"/>
      <c r="J30" s="168"/>
      <c r="K30" s="168"/>
      <c r="L30" s="168"/>
      <c r="M30" s="168"/>
      <c r="N30" s="168"/>
      <c r="O30" s="168"/>
      <c r="P30" s="168"/>
    </row>
    <row r="31" spans="1:16" ht="20.100000000000001" customHeight="1">
      <c r="A31" s="168">
        <v>23</v>
      </c>
      <c r="B31" s="168" t="s">
        <v>357</v>
      </c>
      <c r="C31" s="168" t="s">
        <v>367</v>
      </c>
      <c r="D31" s="168">
        <v>13600</v>
      </c>
      <c r="E31" s="168">
        <v>7</v>
      </c>
      <c r="F31" s="168">
        <v>0</v>
      </c>
      <c r="G31" s="168">
        <v>1</v>
      </c>
      <c r="H31" s="171" t="s">
        <v>368</v>
      </c>
      <c r="I31" s="306"/>
      <c r="J31" s="168"/>
      <c r="K31" s="168"/>
      <c r="L31" s="168"/>
      <c r="M31" s="168"/>
      <c r="N31" s="168"/>
      <c r="O31" s="168"/>
      <c r="P31" s="168"/>
    </row>
    <row r="32" spans="1:16" ht="20.100000000000001" customHeight="1">
      <c r="A32" s="172">
        <v>8</v>
      </c>
      <c r="B32" s="172" t="s">
        <v>357</v>
      </c>
      <c r="C32" s="173" t="s">
        <v>369</v>
      </c>
      <c r="D32" s="173">
        <v>1287.5</v>
      </c>
      <c r="E32" s="173">
        <v>7</v>
      </c>
      <c r="F32" s="173">
        <v>0</v>
      </c>
      <c r="G32" s="173">
        <v>1</v>
      </c>
      <c r="H32" s="173" t="s">
        <v>370</v>
      </c>
      <c r="I32" s="306"/>
      <c r="J32" s="172"/>
      <c r="K32" s="172"/>
      <c r="L32" s="172"/>
      <c r="M32" s="172"/>
      <c r="N32" s="172"/>
      <c r="O32" s="172"/>
      <c r="P32" s="172"/>
    </row>
    <row r="33" spans="1:16" ht="20.100000000000001" customHeight="1">
      <c r="A33" s="168">
        <v>8</v>
      </c>
      <c r="B33" s="168" t="s">
        <v>357</v>
      </c>
      <c r="C33" s="168" t="s">
        <v>371</v>
      </c>
      <c r="D33" s="168">
        <v>241.68</v>
      </c>
      <c r="E33" s="168">
        <v>7</v>
      </c>
      <c r="F33" s="168">
        <v>0</v>
      </c>
      <c r="G33" s="168">
        <v>1</v>
      </c>
      <c r="H33" s="168" t="s">
        <v>372</v>
      </c>
      <c r="I33" s="306"/>
      <c r="J33" s="168"/>
      <c r="K33" s="168"/>
      <c r="L33" s="168"/>
      <c r="M33" s="168"/>
      <c r="N33" s="168"/>
      <c r="O33" s="168"/>
      <c r="P33" s="168"/>
    </row>
    <row r="34" spans="1:16" ht="20.100000000000001" customHeight="1">
      <c r="A34" s="168">
        <v>23</v>
      </c>
      <c r="B34" s="168" t="s">
        <v>357</v>
      </c>
      <c r="C34" s="168" t="s">
        <v>373</v>
      </c>
      <c r="D34" s="168">
        <v>408</v>
      </c>
      <c r="E34" s="168">
        <v>0</v>
      </c>
      <c r="F34" s="168">
        <v>0</v>
      </c>
      <c r="G34" s="168">
        <v>1</v>
      </c>
      <c r="H34" s="168" t="s">
        <v>374</v>
      </c>
      <c r="I34" s="306"/>
      <c r="J34" s="168"/>
      <c r="K34" s="168"/>
      <c r="L34" s="168"/>
      <c r="M34" s="168"/>
      <c r="N34" s="168"/>
      <c r="O34" s="168"/>
      <c r="P34" s="168"/>
    </row>
    <row r="35" spans="1:16" ht="20.100000000000001" customHeight="1">
      <c r="A35" s="168">
        <v>10</v>
      </c>
      <c r="B35" s="168" t="s">
        <v>357</v>
      </c>
      <c r="C35" s="168" t="s">
        <v>375</v>
      </c>
      <c r="D35" s="168">
        <v>1429.6</v>
      </c>
      <c r="E35" s="168">
        <v>0</v>
      </c>
      <c r="F35" s="168">
        <v>0</v>
      </c>
      <c r="G35" s="168">
        <v>1</v>
      </c>
      <c r="H35" s="168"/>
      <c r="I35" s="306"/>
      <c r="J35" s="168"/>
      <c r="K35" s="168"/>
      <c r="L35" s="168"/>
      <c r="M35" s="168"/>
      <c r="N35" s="168"/>
      <c r="O35" s="168"/>
      <c r="P35" s="168"/>
    </row>
    <row r="36" spans="1:16" ht="20.100000000000001" customHeight="1" thickBot="1">
      <c r="A36" s="170">
        <v>6</v>
      </c>
      <c r="B36" s="170" t="s">
        <v>347</v>
      </c>
      <c r="C36" s="170" t="s">
        <v>376</v>
      </c>
      <c r="D36" s="170">
        <v>10692.45</v>
      </c>
      <c r="E36" s="170">
        <v>0</v>
      </c>
      <c r="F36" s="170">
        <v>1</v>
      </c>
      <c r="G36" s="170">
        <v>1</v>
      </c>
      <c r="H36" s="170"/>
      <c r="I36" s="306"/>
      <c r="J36" s="168"/>
      <c r="K36" s="168"/>
      <c r="L36" s="168"/>
      <c r="M36" s="168"/>
      <c r="N36" s="168"/>
      <c r="O36" s="168"/>
      <c r="P36" s="168"/>
    </row>
    <row r="37" spans="1:16" ht="20.100000000000001" customHeight="1">
      <c r="A37" s="180">
        <v>11</v>
      </c>
      <c r="B37" s="181" t="s">
        <v>345</v>
      </c>
      <c r="C37" s="181" t="s">
        <v>377</v>
      </c>
      <c r="D37" s="185">
        <v>62.5</v>
      </c>
      <c r="E37" s="181">
        <v>3</v>
      </c>
      <c r="F37" s="181">
        <v>1</v>
      </c>
      <c r="G37" s="181">
        <v>1</v>
      </c>
      <c r="H37" s="181"/>
      <c r="I37" s="311">
        <v>4</v>
      </c>
      <c r="J37" s="179"/>
      <c r="K37" s="168"/>
      <c r="L37" s="168"/>
      <c r="M37" s="168"/>
      <c r="N37" s="168"/>
      <c r="O37" s="168"/>
      <c r="P37" s="168"/>
    </row>
    <row r="38" spans="1:16" ht="20.100000000000001" customHeight="1">
      <c r="A38" s="182">
        <v>11</v>
      </c>
      <c r="B38" s="168" t="s">
        <v>345</v>
      </c>
      <c r="C38" s="168" t="s">
        <v>378</v>
      </c>
      <c r="D38" s="169">
        <v>182.6</v>
      </c>
      <c r="E38" s="168">
        <v>8</v>
      </c>
      <c r="F38" s="168">
        <v>1</v>
      </c>
      <c r="G38" s="168">
        <v>1</v>
      </c>
      <c r="H38" s="168"/>
      <c r="I38" s="312"/>
      <c r="J38" s="179"/>
      <c r="K38" s="168"/>
      <c r="L38" s="168"/>
      <c r="M38" s="168"/>
      <c r="N38" s="168"/>
      <c r="O38" s="168"/>
      <c r="P38" s="168"/>
    </row>
    <row r="39" spans="1:16" ht="20.100000000000001" customHeight="1">
      <c r="A39" s="182">
        <v>11</v>
      </c>
      <c r="B39" s="168" t="s">
        <v>347</v>
      </c>
      <c r="C39" s="168" t="s">
        <v>379</v>
      </c>
      <c r="D39" s="169">
        <v>378</v>
      </c>
      <c r="E39" s="168">
        <v>0</v>
      </c>
      <c r="F39" s="168">
        <v>1</v>
      </c>
      <c r="G39" s="168">
        <v>1</v>
      </c>
      <c r="H39" s="168"/>
      <c r="I39" s="312"/>
      <c r="J39" s="179"/>
      <c r="K39" s="168"/>
      <c r="L39" s="168"/>
      <c r="M39" s="168"/>
      <c r="N39" s="168"/>
      <c r="O39" s="168"/>
      <c r="P39" s="168"/>
    </row>
    <row r="40" spans="1:16" ht="20.100000000000001" customHeight="1">
      <c r="A40" s="182">
        <v>11</v>
      </c>
      <c r="B40" s="168" t="s">
        <v>347</v>
      </c>
      <c r="C40" s="168" t="s">
        <v>380</v>
      </c>
      <c r="D40" s="168">
        <v>28.9</v>
      </c>
      <c r="E40" s="168">
        <v>8</v>
      </c>
      <c r="F40" s="168">
        <v>1</v>
      </c>
      <c r="G40" s="168">
        <v>1</v>
      </c>
      <c r="H40" s="168"/>
      <c r="I40" s="312"/>
      <c r="J40" s="179"/>
      <c r="K40" s="168"/>
      <c r="L40" s="168"/>
      <c r="M40" s="168"/>
      <c r="N40" s="168"/>
      <c r="O40" s="168"/>
      <c r="P40" s="168"/>
    </row>
    <row r="41" spans="1:16" ht="20.100000000000001" customHeight="1">
      <c r="A41" s="182">
        <v>17</v>
      </c>
      <c r="B41" s="168" t="s">
        <v>347</v>
      </c>
      <c r="C41" s="168" t="s">
        <v>381</v>
      </c>
      <c r="D41" s="169">
        <v>233.3</v>
      </c>
      <c r="E41" s="168">
        <v>0</v>
      </c>
      <c r="F41" s="168">
        <v>1</v>
      </c>
      <c r="G41" s="168">
        <v>1</v>
      </c>
      <c r="H41" s="168"/>
      <c r="I41" s="312"/>
      <c r="J41" s="179"/>
      <c r="K41" s="168"/>
      <c r="L41" s="168"/>
      <c r="M41" s="168"/>
      <c r="N41" s="168"/>
      <c r="O41" s="168"/>
      <c r="P41" s="168"/>
    </row>
    <row r="42" spans="1:16" ht="20.100000000000001" customHeight="1">
      <c r="A42" s="182">
        <v>19</v>
      </c>
      <c r="B42" s="168" t="s">
        <v>343</v>
      </c>
      <c r="C42" s="168" t="s">
        <v>382</v>
      </c>
      <c r="D42" s="169">
        <v>656</v>
      </c>
      <c r="E42" s="168">
        <v>3</v>
      </c>
      <c r="F42" s="168">
        <v>1</v>
      </c>
      <c r="G42" s="168">
        <v>1</v>
      </c>
      <c r="H42" s="168"/>
      <c r="I42" s="312"/>
      <c r="J42" s="179"/>
      <c r="K42" s="168"/>
      <c r="L42" s="168"/>
      <c r="M42" s="168"/>
      <c r="N42" s="168"/>
      <c r="O42" s="168"/>
      <c r="P42" s="168"/>
    </row>
    <row r="43" spans="1:16" ht="20.100000000000001" customHeight="1" thickBot="1">
      <c r="A43" s="183">
        <v>16</v>
      </c>
      <c r="B43" s="184" t="s">
        <v>383</v>
      </c>
      <c r="C43" s="184" t="s">
        <v>384</v>
      </c>
      <c r="D43" s="186">
        <v>307</v>
      </c>
      <c r="E43" s="184">
        <v>9</v>
      </c>
      <c r="F43" s="184">
        <v>1</v>
      </c>
      <c r="G43" s="184">
        <v>1</v>
      </c>
      <c r="H43" s="184"/>
      <c r="I43" s="313"/>
      <c r="J43" s="179"/>
      <c r="K43" s="168"/>
      <c r="L43" s="168"/>
      <c r="M43" s="168"/>
      <c r="N43" s="168"/>
      <c r="O43" s="168"/>
      <c r="P43" s="168"/>
    </row>
    <row r="44" spans="1:16" ht="20.100000000000001" customHeight="1">
      <c r="A44" s="172"/>
      <c r="B44" s="172"/>
      <c r="C44" s="172"/>
      <c r="D44" s="172"/>
      <c r="E44" s="172"/>
      <c r="F44" s="172"/>
      <c r="G44" s="172"/>
      <c r="H44" s="172"/>
      <c r="I44" s="178"/>
      <c r="J44" s="168"/>
      <c r="K44" s="168"/>
      <c r="L44" s="168"/>
      <c r="M44" s="168"/>
      <c r="N44" s="168"/>
      <c r="O44" s="168"/>
      <c r="P44" s="168"/>
    </row>
    <row r="45" spans="1:16" ht="20.100000000000001" customHeight="1" thickBot="1">
      <c r="A45" s="170"/>
      <c r="B45" s="170"/>
      <c r="C45" s="170"/>
      <c r="D45" s="170"/>
      <c r="E45" s="170"/>
      <c r="F45" s="170"/>
      <c r="G45" s="170"/>
      <c r="H45" s="170"/>
      <c r="I45" s="178"/>
      <c r="J45" s="170"/>
      <c r="K45" s="170"/>
      <c r="L45" s="170"/>
      <c r="M45" s="170"/>
      <c r="N45" s="170"/>
      <c r="O45" s="170"/>
      <c r="P45" s="170"/>
    </row>
    <row r="46" spans="1:16" ht="20.100000000000001" customHeight="1">
      <c r="A46" s="180">
        <v>4</v>
      </c>
      <c r="B46" s="181" t="s">
        <v>565</v>
      </c>
      <c r="C46" s="181" t="s">
        <v>568</v>
      </c>
      <c r="D46" s="181">
        <v>169</v>
      </c>
      <c r="E46" s="181">
        <v>9</v>
      </c>
      <c r="F46" s="181">
        <v>1</v>
      </c>
      <c r="G46" s="181">
        <v>1</v>
      </c>
      <c r="H46" s="181"/>
      <c r="I46" s="314">
        <v>7</v>
      </c>
      <c r="J46" s="181">
        <v>5</v>
      </c>
      <c r="K46" s="181" t="s">
        <v>345</v>
      </c>
      <c r="L46" s="181" t="s">
        <v>362</v>
      </c>
      <c r="M46" s="181">
        <v>13.5</v>
      </c>
      <c r="N46" s="181"/>
      <c r="O46" s="181"/>
      <c r="P46" s="228"/>
    </row>
    <row r="47" spans="1:16" ht="20.100000000000001" customHeight="1">
      <c r="A47" s="182">
        <v>1</v>
      </c>
      <c r="B47" s="168" t="s">
        <v>350</v>
      </c>
      <c r="C47" s="168" t="s">
        <v>299</v>
      </c>
      <c r="D47" s="168">
        <v>2982.31</v>
      </c>
      <c r="E47" s="168">
        <v>9</v>
      </c>
      <c r="F47" s="168">
        <v>1</v>
      </c>
      <c r="G47" s="168">
        <v>1</v>
      </c>
      <c r="H47" s="168"/>
      <c r="I47" s="306"/>
      <c r="J47" s="168">
        <v>1</v>
      </c>
      <c r="K47" s="168" t="s">
        <v>350</v>
      </c>
      <c r="L47" s="168" t="s">
        <v>564</v>
      </c>
      <c r="M47" s="168">
        <v>6043.26</v>
      </c>
      <c r="N47" s="168"/>
      <c r="O47" s="168"/>
      <c r="P47" s="229"/>
    </row>
    <row r="48" spans="1:16" ht="20.100000000000001" customHeight="1">
      <c r="A48" s="182">
        <v>8</v>
      </c>
      <c r="B48" s="168" t="s">
        <v>383</v>
      </c>
      <c r="C48" s="168" t="s">
        <v>299</v>
      </c>
      <c r="D48" s="168">
        <v>2709</v>
      </c>
      <c r="E48" s="168">
        <v>9</v>
      </c>
      <c r="F48" s="168">
        <v>1</v>
      </c>
      <c r="G48" s="168">
        <v>1</v>
      </c>
      <c r="H48" s="168"/>
      <c r="I48" s="306"/>
      <c r="J48" s="168">
        <v>4</v>
      </c>
      <c r="K48" s="168" t="s">
        <v>565</v>
      </c>
      <c r="L48" s="168" t="s">
        <v>566</v>
      </c>
      <c r="M48" s="168">
        <v>467.53</v>
      </c>
      <c r="N48" s="168"/>
      <c r="O48" s="168"/>
      <c r="P48" s="229"/>
    </row>
    <row r="49" spans="1:16" ht="20.100000000000001" customHeight="1">
      <c r="A49" s="182">
        <v>8</v>
      </c>
      <c r="B49" s="168" t="s">
        <v>548</v>
      </c>
      <c r="C49" s="168" t="s">
        <v>359</v>
      </c>
      <c r="D49" s="168">
        <v>1153</v>
      </c>
      <c r="E49" s="168">
        <v>3</v>
      </c>
      <c r="F49" s="168">
        <v>1</v>
      </c>
      <c r="G49" s="168">
        <v>1</v>
      </c>
      <c r="H49" s="168"/>
      <c r="I49" s="306"/>
      <c r="J49" s="168">
        <v>5</v>
      </c>
      <c r="K49" s="168" t="s">
        <v>343</v>
      </c>
      <c r="L49" s="168" t="s">
        <v>567</v>
      </c>
      <c r="M49" s="168">
        <v>372</v>
      </c>
      <c r="N49" s="168"/>
      <c r="O49" s="168"/>
      <c r="P49" s="229"/>
    </row>
    <row r="50" spans="1:16" ht="20.100000000000001" customHeight="1">
      <c r="A50" s="182">
        <v>13</v>
      </c>
      <c r="B50" s="168" t="s">
        <v>347</v>
      </c>
      <c r="C50" s="168" t="s">
        <v>570</v>
      </c>
      <c r="D50" s="168">
        <v>182</v>
      </c>
      <c r="E50" s="168">
        <v>4</v>
      </c>
      <c r="F50" s="168">
        <v>1</v>
      </c>
      <c r="G50" s="168">
        <v>1</v>
      </c>
      <c r="H50" s="168"/>
      <c r="I50" s="306"/>
      <c r="J50" s="168">
        <v>8</v>
      </c>
      <c r="K50" s="168" t="s">
        <v>383</v>
      </c>
      <c r="L50" s="168" t="s">
        <v>566</v>
      </c>
      <c r="M50" s="168">
        <v>1988.86</v>
      </c>
      <c r="N50" s="168"/>
      <c r="O50" s="168"/>
      <c r="P50" s="229"/>
    </row>
    <row r="51" spans="1:16" ht="20.100000000000001" customHeight="1">
      <c r="A51" s="182">
        <v>13</v>
      </c>
      <c r="B51" s="168" t="s">
        <v>345</v>
      </c>
      <c r="C51" s="168" t="s">
        <v>359</v>
      </c>
      <c r="D51" s="168">
        <v>162</v>
      </c>
      <c r="E51" s="168">
        <v>3</v>
      </c>
      <c r="F51" s="168">
        <v>1</v>
      </c>
      <c r="G51" s="168">
        <v>1</v>
      </c>
      <c r="H51" s="168"/>
      <c r="I51" s="306"/>
      <c r="J51" s="168">
        <v>8</v>
      </c>
      <c r="K51" s="168" t="s">
        <v>347</v>
      </c>
      <c r="L51" s="168" t="s">
        <v>569</v>
      </c>
      <c r="M51" s="168">
        <v>78</v>
      </c>
      <c r="N51" s="168"/>
      <c r="O51" s="168"/>
      <c r="P51" s="229"/>
    </row>
    <row r="52" spans="1:16" ht="20.100000000000001" customHeight="1">
      <c r="A52" s="182">
        <v>5</v>
      </c>
      <c r="B52" s="168" t="s">
        <v>345</v>
      </c>
      <c r="C52" s="168" t="s">
        <v>359</v>
      </c>
      <c r="D52" s="168">
        <v>745</v>
      </c>
      <c r="E52" s="168">
        <v>3</v>
      </c>
      <c r="F52" s="168">
        <v>1</v>
      </c>
      <c r="G52" s="168">
        <v>1</v>
      </c>
      <c r="H52" s="168"/>
      <c r="I52" s="306"/>
      <c r="J52" s="168">
        <v>8</v>
      </c>
      <c r="K52" s="168" t="s">
        <v>345</v>
      </c>
      <c r="L52" s="168" t="s">
        <v>572</v>
      </c>
      <c r="M52" s="168">
        <v>640</v>
      </c>
      <c r="N52" s="168"/>
      <c r="O52" s="168"/>
      <c r="P52" s="229"/>
    </row>
    <row r="53" spans="1:16" ht="20.100000000000001" customHeight="1">
      <c r="A53" s="182">
        <v>8</v>
      </c>
      <c r="B53" s="168" t="s">
        <v>345</v>
      </c>
      <c r="C53" s="168" t="s">
        <v>571</v>
      </c>
      <c r="D53" s="168">
        <v>171</v>
      </c>
      <c r="E53" s="168">
        <v>3</v>
      </c>
      <c r="F53" s="168">
        <v>1</v>
      </c>
      <c r="G53" s="168">
        <v>1</v>
      </c>
      <c r="H53" s="168"/>
      <c r="I53" s="306"/>
      <c r="J53" s="168">
        <v>13</v>
      </c>
      <c r="K53" s="168" t="s">
        <v>345</v>
      </c>
      <c r="L53" s="219" t="s">
        <v>573</v>
      </c>
      <c r="M53" s="168">
        <v>37.5</v>
      </c>
      <c r="N53" s="168"/>
      <c r="O53" s="168"/>
      <c r="P53" s="229"/>
    </row>
    <row r="54" spans="1:16" ht="20.100000000000001" customHeight="1" thickBot="1">
      <c r="A54" s="183">
        <v>5</v>
      </c>
      <c r="B54" s="184" t="s">
        <v>383</v>
      </c>
      <c r="C54" s="184" t="s">
        <v>574</v>
      </c>
      <c r="D54" s="184">
        <v>1150</v>
      </c>
      <c r="E54" s="184">
        <v>9</v>
      </c>
      <c r="F54" s="184">
        <v>1</v>
      </c>
      <c r="G54" s="184">
        <v>1</v>
      </c>
      <c r="H54" s="184"/>
      <c r="I54" s="315"/>
      <c r="J54" s="184">
        <v>13</v>
      </c>
      <c r="K54" s="184" t="s">
        <v>347</v>
      </c>
      <c r="L54" s="184" t="s">
        <v>362</v>
      </c>
      <c r="M54" s="184">
        <v>27</v>
      </c>
      <c r="N54" s="184"/>
      <c r="O54" s="184"/>
      <c r="P54" s="230"/>
    </row>
    <row r="55" spans="1:16" ht="20.100000000000001" customHeight="1">
      <c r="A55" s="180">
        <v>11</v>
      </c>
      <c r="B55" s="181" t="s">
        <v>350</v>
      </c>
      <c r="C55" s="181" t="s">
        <v>299</v>
      </c>
      <c r="D55" s="181">
        <v>9028</v>
      </c>
      <c r="E55" s="181">
        <v>9</v>
      </c>
      <c r="F55" s="181">
        <v>1</v>
      </c>
      <c r="G55" s="181">
        <v>1</v>
      </c>
      <c r="H55" s="181"/>
      <c r="I55" s="314">
        <v>8</v>
      </c>
      <c r="J55" s="181">
        <v>11</v>
      </c>
      <c r="K55" s="181" t="s">
        <v>350</v>
      </c>
      <c r="L55" s="181" t="s">
        <v>299</v>
      </c>
      <c r="M55" s="181">
        <v>5093.09</v>
      </c>
      <c r="N55" s="181">
        <v>9</v>
      </c>
      <c r="O55" s="181">
        <v>1</v>
      </c>
      <c r="P55" s="228"/>
    </row>
    <row r="56" spans="1:16" ht="20.100000000000001" customHeight="1">
      <c r="A56" s="182">
        <v>11</v>
      </c>
      <c r="B56" s="168" t="s">
        <v>345</v>
      </c>
      <c r="C56" s="168" t="s">
        <v>362</v>
      </c>
      <c r="D56" s="168">
        <v>32.869999999999997</v>
      </c>
      <c r="E56" s="168">
        <v>4</v>
      </c>
      <c r="F56" s="168">
        <v>1</v>
      </c>
      <c r="G56" s="168">
        <v>1</v>
      </c>
      <c r="H56" s="168"/>
      <c r="I56" s="306"/>
      <c r="J56" s="168">
        <v>11</v>
      </c>
      <c r="K56" s="168" t="s">
        <v>345</v>
      </c>
      <c r="L56" s="168" t="s">
        <v>628</v>
      </c>
      <c r="M56" s="168">
        <v>812.6</v>
      </c>
      <c r="N56" s="168">
        <v>7</v>
      </c>
      <c r="O56" s="168">
        <v>1</v>
      </c>
      <c r="P56" s="229"/>
    </row>
    <row r="57" spans="1:16" ht="20.100000000000001" customHeight="1">
      <c r="A57" s="182">
        <v>11</v>
      </c>
      <c r="B57" s="168" t="s">
        <v>347</v>
      </c>
      <c r="C57" s="168" t="s">
        <v>627</v>
      </c>
      <c r="D57" s="168">
        <v>104.8</v>
      </c>
      <c r="E57" s="168">
        <v>4</v>
      </c>
      <c r="F57" s="168">
        <v>1</v>
      </c>
      <c r="G57" s="168">
        <v>1</v>
      </c>
      <c r="H57" s="168"/>
      <c r="I57" s="306"/>
      <c r="J57" s="168">
        <v>11</v>
      </c>
      <c r="K57" s="168" t="s">
        <v>345</v>
      </c>
      <c r="L57" s="168" t="s">
        <v>629</v>
      </c>
      <c r="M57" s="168">
        <v>5935</v>
      </c>
      <c r="N57" s="168">
        <v>7</v>
      </c>
      <c r="O57" s="168">
        <v>1</v>
      </c>
      <c r="P57" s="229"/>
    </row>
    <row r="58" spans="1:16" ht="20.100000000000001" customHeight="1">
      <c r="A58" s="182">
        <v>14</v>
      </c>
      <c r="B58" s="168" t="s">
        <v>347</v>
      </c>
      <c r="C58" s="168" t="s">
        <v>359</v>
      </c>
      <c r="D58" s="168">
        <v>100</v>
      </c>
      <c r="E58" s="168">
        <v>3</v>
      </c>
      <c r="F58" s="168">
        <v>1</v>
      </c>
      <c r="G58" s="168"/>
      <c r="H58" s="168"/>
      <c r="I58" s="306"/>
      <c r="J58" s="168">
        <v>11</v>
      </c>
      <c r="K58" s="168" t="s">
        <v>347</v>
      </c>
      <c r="L58" s="168" t="s">
        <v>630</v>
      </c>
      <c r="M58" s="168">
        <v>115</v>
      </c>
      <c r="N58" s="168">
        <v>0</v>
      </c>
      <c r="O58" s="168">
        <v>1</v>
      </c>
      <c r="P58" s="229"/>
    </row>
    <row r="59" spans="1:16" ht="20.100000000000001" customHeight="1">
      <c r="A59" s="182">
        <v>14</v>
      </c>
      <c r="B59" s="168" t="s">
        <v>347</v>
      </c>
      <c r="C59" s="168" t="s">
        <v>703</v>
      </c>
      <c r="D59" s="168">
        <v>279</v>
      </c>
      <c r="E59" s="168">
        <v>2</v>
      </c>
      <c r="F59" s="168">
        <v>1</v>
      </c>
      <c r="G59" s="168"/>
      <c r="H59" s="168"/>
      <c r="I59" s="306"/>
      <c r="J59" s="168">
        <v>11</v>
      </c>
      <c r="K59" s="168" t="s">
        <v>565</v>
      </c>
      <c r="L59" s="168" t="s">
        <v>631</v>
      </c>
      <c r="M59" s="168">
        <v>767.58</v>
      </c>
      <c r="N59" s="168">
        <v>9</v>
      </c>
      <c r="O59" s="168">
        <v>1</v>
      </c>
      <c r="P59" s="229"/>
    </row>
    <row r="60" spans="1:16" ht="20.100000000000001" customHeight="1" thickBot="1">
      <c r="A60" s="183">
        <v>14</v>
      </c>
      <c r="B60" s="184" t="s">
        <v>345</v>
      </c>
      <c r="C60" s="184" t="s">
        <v>704</v>
      </c>
      <c r="D60" s="184">
        <v>1632</v>
      </c>
      <c r="E60" s="184">
        <v>6</v>
      </c>
      <c r="F60" s="184">
        <v>1</v>
      </c>
      <c r="G60" s="184"/>
      <c r="H60" s="184"/>
      <c r="I60" s="315"/>
      <c r="J60" s="184">
        <v>11</v>
      </c>
      <c r="K60" s="184" t="s">
        <v>383</v>
      </c>
      <c r="L60" s="184" t="s">
        <v>632</v>
      </c>
      <c r="M60" s="184">
        <v>950</v>
      </c>
      <c r="N60" s="184">
        <v>9</v>
      </c>
      <c r="O60" s="184">
        <v>1</v>
      </c>
      <c r="P60" s="230"/>
    </row>
    <row r="61" spans="1:16" ht="20.100000000000001" customHeight="1">
      <c r="A61" s="172">
        <v>6</v>
      </c>
      <c r="B61" s="172" t="s">
        <v>345</v>
      </c>
      <c r="C61" s="172" t="s">
        <v>700</v>
      </c>
      <c r="D61" s="172">
        <f>17+21+10.8+300+400</f>
        <v>748.8</v>
      </c>
      <c r="E61" s="172">
        <v>4</v>
      </c>
      <c r="F61" s="172">
        <v>1</v>
      </c>
      <c r="G61" s="172"/>
      <c r="H61" s="172"/>
      <c r="I61" s="178"/>
      <c r="J61" s="172">
        <v>6</v>
      </c>
      <c r="K61" s="172" t="s">
        <v>345</v>
      </c>
      <c r="L61" s="172" t="s">
        <v>701</v>
      </c>
      <c r="M61" s="238">
        <v>106</v>
      </c>
      <c r="N61" s="172">
        <v>8</v>
      </c>
      <c r="O61" s="172">
        <v>1</v>
      </c>
      <c r="P61" s="172"/>
    </row>
    <row r="62" spans="1:16" ht="20.100000000000001" customHeight="1">
      <c r="A62" s="168">
        <v>6</v>
      </c>
      <c r="B62" s="168" t="s">
        <v>345</v>
      </c>
      <c r="C62" s="168" t="s">
        <v>359</v>
      </c>
      <c r="D62" s="168">
        <v>332.1</v>
      </c>
      <c r="E62" s="168">
        <v>3</v>
      </c>
      <c r="F62" s="168">
        <v>1</v>
      </c>
      <c r="G62" s="168"/>
      <c r="H62" s="168"/>
      <c r="I62" s="178"/>
      <c r="J62" s="168">
        <v>1</v>
      </c>
      <c r="K62" s="168" t="s">
        <v>347</v>
      </c>
      <c r="L62" s="174" t="s">
        <v>702</v>
      </c>
      <c r="M62" s="237">
        <v>285.89999999999998</v>
      </c>
      <c r="N62" s="168">
        <v>4</v>
      </c>
      <c r="O62" s="168">
        <v>1</v>
      </c>
      <c r="P62" s="168"/>
    </row>
    <row r="63" spans="1:16" ht="20.100000000000001" customHeight="1">
      <c r="A63" s="168">
        <v>1</v>
      </c>
      <c r="B63" s="168" t="s">
        <v>347</v>
      </c>
      <c r="C63" s="168" t="s">
        <v>705</v>
      </c>
      <c r="D63" s="168">
        <v>1257.46</v>
      </c>
      <c r="E63" s="168">
        <v>4</v>
      </c>
      <c r="F63" s="168">
        <v>1</v>
      </c>
      <c r="G63" s="168"/>
      <c r="H63" s="168"/>
      <c r="I63" s="178"/>
      <c r="J63" s="168">
        <v>14</v>
      </c>
      <c r="K63" s="168" t="s">
        <v>345</v>
      </c>
      <c r="L63" s="168" t="s">
        <v>572</v>
      </c>
      <c r="M63" s="237">
        <v>2943</v>
      </c>
      <c r="N63" s="168">
        <v>7</v>
      </c>
      <c r="O63" s="168">
        <v>1</v>
      </c>
      <c r="P63" s="168"/>
    </row>
    <row r="64" spans="1:16" ht="20.100000000000001" customHeight="1">
      <c r="A64" s="168">
        <v>6</v>
      </c>
      <c r="B64" s="168" t="s">
        <v>548</v>
      </c>
      <c r="C64" s="168" t="s">
        <v>706</v>
      </c>
      <c r="D64" s="168">
        <v>20766</v>
      </c>
      <c r="E64" s="168">
        <v>9</v>
      </c>
      <c r="F64" s="168">
        <v>1</v>
      </c>
      <c r="G64" s="168"/>
      <c r="H64" s="168"/>
      <c r="I64" s="178"/>
      <c r="J64" s="168"/>
      <c r="K64" s="168"/>
      <c r="L64" s="168"/>
      <c r="M64" s="168"/>
      <c r="N64" s="168"/>
      <c r="O64" s="168"/>
      <c r="P64" s="168"/>
    </row>
    <row r="65" spans="1:16" ht="20.100000000000001" customHeight="1">
      <c r="A65" s="168"/>
      <c r="B65" s="168"/>
      <c r="C65" s="168"/>
      <c r="D65" s="168"/>
      <c r="E65" s="168"/>
      <c r="F65" s="168"/>
      <c r="G65" s="168"/>
      <c r="H65" s="168"/>
      <c r="I65" s="178"/>
      <c r="J65" s="168"/>
      <c r="K65" s="168"/>
      <c r="L65" s="168"/>
      <c r="M65" s="168"/>
      <c r="N65" s="168"/>
      <c r="O65" s="168"/>
      <c r="P65" s="168"/>
    </row>
    <row r="66" spans="1:16" ht="20.100000000000001" customHeight="1">
      <c r="A66" s="168"/>
      <c r="B66" s="168"/>
      <c r="C66" s="168"/>
      <c r="D66" s="168"/>
      <c r="E66" s="168"/>
      <c r="F66" s="168"/>
      <c r="G66" s="168"/>
      <c r="H66" s="168"/>
      <c r="I66" s="178"/>
      <c r="J66" s="168"/>
      <c r="K66" s="168"/>
      <c r="L66" s="168"/>
      <c r="M66" s="168"/>
      <c r="N66" s="168"/>
      <c r="O66" s="168"/>
      <c r="P66" s="168"/>
    </row>
    <row r="67" spans="1:16" ht="20.100000000000001" customHeight="1">
      <c r="A67" s="168"/>
      <c r="B67" s="168"/>
      <c r="C67" s="168"/>
      <c r="D67" s="168"/>
      <c r="E67" s="168"/>
      <c r="F67" s="168"/>
      <c r="G67" s="168"/>
      <c r="H67" s="168"/>
      <c r="I67" s="178"/>
      <c r="J67" s="168"/>
      <c r="K67" s="168"/>
      <c r="L67" s="168"/>
      <c r="M67" s="168"/>
      <c r="N67" s="168"/>
      <c r="O67" s="168"/>
      <c r="P67" s="168"/>
    </row>
    <row r="68" spans="1:16" ht="20.100000000000001" customHeight="1">
      <c r="A68" s="168"/>
      <c r="B68" s="168"/>
      <c r="C68" s="168"/>
      <c r="D68" s="168"/>
      <c r="E68" s="168"/>
      <c r="F68" s="168"/>
      <c r="G68" s="168"/>
      <c r="H68" s="168"/>
      <c r="I68" s="178"/>
      <c r="J68" s="168"/>
      <c r="K68" s="168"/>
      <c r="L68" s="168"/>
      <c r="M68" s="168"/>
      <c r="N68" s="168"/>
      <c r="O68" s="168"/>
      <c r="P68" s="168"/>
    </row>
    <row r="69" spans="1:16" ht="20.100000000000001" customHeight="1">
      <c r="A69" s="168"/>
      <c r="B69" s="168"/>
      <c r="C69" s="168"/>
      <c r="D69" s="168"/>
      <c r="E69" s="168"/>
      <c r="F69" s="168"/>
      <c r="G69" s="168"/>
      <c r="H69" s="168"/>
      <c r="I69" s="178"/>
      <c r="J69" s="168"/>
      <c r="K69" s="168"/>
      <c r="L69" s="168"/>
      <c r="M69" s="168"/>
      <c r="N69" s="168"/>
      <c r="O69" s="168"/>
      <c r="P69" s="168"/>
    </row>
    <row r="70" spans="1:16" ht="20.100000000000001" customHeight="1">
      <c r="A70" s="168"/>
      <c r="B70" s="168"/>
      <c r="C70" s="168"/>
      <c r="D70" s="168"/>
      <c r="E70" s="168"/>
      <c r="F70" s="168"/>
      <c r="G70" s="168"/>
      <c r="H70" s="168"/>
      <c r="I70" s="218"/>
      <c r="J70" s="168"/>
      <c r="K70" s="168"/>
      <c r="L70" s="168"/>
      <c r="M70" s="168"/>
      <c r="N70" s="168"/>
      <c r="O70" s="168"/>
      <c r="P70" s="168"/>
    </row>
    <row r="71" spans="1:16" ht="20.100000000000001" customHeight="1">
      <c r="A71" s="168"/>
      <c r="B71" s="168"/>
      <c r="C71" s="175"/>
      <c r="D71" s="168"/>
      <c r="E71" s="168"/>
      <c r="F71" s="168"/>
      <c r="G71" s="168"/>
      <c r="H71" s="168"/>
      <c r="I71" s="305"/>
      <c r="J71" s="168"/>
      <c r="K71" s="168"/>
      <c r="L71" s="168"/>
      <c r="M71" s="168"/>
      <c r="N71" s="168"/>
      <c r="O71" s="168"/>
      <c r="P71" s="168"/>
    </row>
    <row r="72" spans="1:16" ht="20.100000000000001" customHeight="1">
      <c r="A72" s="168"/>
      <c r="B72" s="168"/>
      <c r="C72" s="168"/>
      <c r="D72" s="168"/>
      <c r="E72" s="168"/>
      <c r="F72" s="168"/>
      <c r="G72" s="168"/>
      <c r="H72" s="168"/>
      <c r="I72" s="306"/>
      <c r="J72" s="168"/>
      <c r="K72" s="168"/>
      <c r="L72" s="168"/>
      <c r="M72" s="168"/>
      <c r="N72" s="168"/>
      <c r="O72" s="168"/>
      <c r="P72" s="168"/>
    </row>
    <row r="73" spans="1:16" ht="20.100000000000001" customHeight="1">
      <c r="A73" s="168"/>
      <c r="B73" s="168"/>
      <c r="C73" s="168"/>
      <c r="D73" s="168"/>
      <c r="E73" s="168"/>
      <c r="F73" s="168"/>
      <c r="G73" s="168"/>
      <c r="H73" s="168"/>
      <c r="I73" s="306"/>
      <c r="J73" s="168"/>
      <c r="K73" s="168"/>
      <c r="L73" s="168"/>
      <c r="M73" s="168"/>
      <c r="N73" s="168"/>
      <c r="O73" s="168"/>
      <c r="P73" s="168"/>
    </row>
    <row r="74" spans="1:16" ht="20.100000000000001" customHeight="1">
      <c r="A74" s="168"/>
      <c r="B74" s="168"/>
      <c r="C74" s="168"/>
      <c r="D74" s="168"/>
      <c r="E74" s="168"/>
      <c r="F74" s="168"/>
      <c r="G74" s="168"/>
      <c r="H74" s="168"/>
      <c r="I74" s="306"/>
      <c r="J74" s="168"/>
      <c r="K74" s="168"/>
      <c r="L74" s="168"/>
      <c r="M74" s="168"/>
      <c r="N74" s="168"/>
      <c r="O74" s="168"/>
      <c r="P74" s="168"/>
    </row>
    <row r="75" spans="1:16" ht="20.100000000000001" customHeight="1">
      <c r="A75" s="168"/>
      <c r="B75" s="168"/>
      <c r="C75" s="168"/>
      <c r="D75" s="168"/>
      <c r="E75" s="168"/>
      <c r="F75" s="168"/>
      <c r="G75" s="168"/>
      <c r="H75" s="168"/>
      <c r="I75" s="306"/>
      <c r="J75" s="168"/>
      <c r="K75" s="168"/>
      <c r="L75" s="168"/>
      <c r="M75" s="168"/>
      <c r="N75" s="168"/>
      <c r="O75" s="168"/>
      <c r="P75" s="168"/>
    </row>
    <row r="76" spans="1:16" ht="20.100000000000001" customHeight="1">
      <c r="A76" s="168"/>
      <c r="B76" s="168"/>
      <c r="C76" s="168"/>
      <c r="D76" s="168"/>
      <c r="E76" s="168"/>
      <c r="F76" s="168"/>
      <c r="G76" s="168"/>
      <c r="H76" s="168"/>
      <c r="I76" s="306"/>
      <c r="J76" s="168"/>
      <c r="K76" s="168"/>
      <c r="L76" s="168"/>
      <c r="M76" s="168"/>
      <c r="N76" s="168"/>
      <c r="O76" s="168"/>
      <c r="P76" s="168"/>
    </row>
    <row r="77" spans="1:16" ht="20.100000000000001" customHeight="1">
      <c r="A77" s="168"/>
      <c r="B77" s="168"/>
      <c r="C77" s="168"/>
      <c r="D77" s="168"/>
      <c r="E77" s="168"/>
      <c r="F77" s="168"/>
      <c r="G77" s="168"/>
      <c r="H77" s="168"/>
      <c r="I77" s="306"/>
      <c r="J77" s="168"/>
      <c r="K77" s="168"/>
      <c r="L77" s="168"/>
      <c r="M77" s="168"/>
      <c r="N77" s="168"/>
      <c r="O77" s="168"/>
      <c r="P77" s="168"/>
    </row>
    <row r="78" spans="1:16" ht="20.100000000000001" customHeight="1">
      <c r="A78" s="168"/>
      <c r="B78" s="168"/>
      <c r="C78" s="168"/>
      <c r="D78" s="168"/>
      <c r="E78" s="168"/>
      <c r="F78" s="168"/>
      <c r="G78" s="168"/>
      <c r="H78" s="168"/>
      <c r="I78" s="306"/>
      <c r="J78" s="168"/>
      <c r="K78" s="168"/>
      <c r="L78" s="168"/>
      <c r="M78" s="168"/>
      <c r="N78" s="168"/>
      <c r="O78" s="168"/>
      <c r="P78" s="168"/>
    </row>
    <row r="79" spans="1:16" ht="20.100000000000001" customHeight="1">
      <c r="A79" s="168"/>
      <c r="B79" s="168"/>
      <c r="C79" s="168"/>
      <c r="D79" s="168"/>
      <c r="E79" s="168"/>
      <c r="F79" s="168"/>
      <c r="G79" s="168"/>
      <c r="H79" s="168"/>
      <c r="I79" s="306"/>
      <c r="J79" s="168"/>
      <c r="K79" s="168"/>
      <c r="L79" s="168"/>
      <c r="M79" s="168"/>
      <c r="N79" s="168"/>
      <c r="O79" s="168"/>
      <c r="P79" s="168"/>
    </row>
    <row r="80" spans="1:16" ht="20.100000000000001" customHeight="1">
      <c r="A80" s="168"/>
      <c r="B80" s="168"/>
      <c r="C80" s="168"/>
      <c r="D80" s="168"/>
      <c r="E80" s="168"/>
      <c r="F80" s="168"/>
      <c r="G80" s="168"/>
      <c r="H80" s="168"/>
      <c r="I80" s="306"/>
      <c r="J80" s="168"/>
      <c r="K80" s="168"/>
      <c r="L80" s="168"/>
      <c r="M80" s="168"/>
      <c r="N80" s="168"/>
      <c r="O80" s="168"/>
      <c r="P80" s="168"/>
    </row>
    <row r="81" spans="1:16" ht="20.100000000000001" customHeight="1">
      <c r="A81" s="168"/>
      <c r="B81" s="168"/>
      <c r="C81" s="168"/>
      <c r="D81" s="168"/>
      <c r="E81" s="168"/>
      <c r="F81" s="168"/>
      <c r="G81" s="168"/>
      <c r="H81" s="168"/>
      <c r="I81" s="306"/>
      <c r="J81" s="168"/>
      <c r="K81" s="168"/>
      <c r="L81" s="168"/>
      <c r="M81" s="168"/>
      <c r="N81" s="168"/>
      <c r="O81" s="168"/>
      <c r="P81" s="168"/>
    </row>
    <row r="82" spans="1:16" ht="20.100000000000001" customHeight="1">
      <c r="A82" s="168"/>
      <c r="B82" s="168"/>
      <c r="C82" s="168"/>
      <c r="D82" s="168"/>
      <c r="E82" s="168"/>
      <c r="F82" s="168"/>
      <c r="G82" s="168"/>
      <c r="H82" s="168"/>
      <c r="I82" s="306"/>
      <c r="J82" s="168"/>
      <c r="K82" s="168"/>
      <c r="L82" s="168"/>
      <c r="M82" s="168"/>
      <c r="N82" s="168"/>
      <c r="O82" s="168"/>
      <c r="P82" s="168"/>
    </row>
    <row r="83" spans="1:16" ht="20.100000000000001" customHeight="1">
      <c r="A83" s="168"/>
      <c r="B83" s="168"/>
      <c r="C83" s="168"/>
      <c r="D83" s="168"/>
      <c r="E83" s="168"/>
      <c r="F83" s="168"/>
      <c r="G83" s="168"/>
      <c r="H83" s="168"/>
      <c r="I83" s="306"/>
      <c r="J83" s="168"/>
      <c r="K83" s="168"/>
      <c r="L83" s="168"/>
      <c r="M83" s="168"/>
      <c r="N83" s="168"/>
      <c r="O83" s="168"/>
      <c r="P83" s="168"/>
    </row>
    <row r="84" spans="1:16" ht="20.100000000000001" customHeight="1">
      <c r="A84" s="168"/>
      <c r="B84" s="168"/>
      <c r="C84" s="168"/>
      <c r="D84" s="168"/>
      <c r="E84" s="168"/>
      <c r="F84" s="168"/>
      <c r="G84" s="168"/>
      <c r="H84" s="168"/>
      <c r="I84" s="306"/>
      <c r="J84" s="168"/>
      <c r="K84" s="168"/>
      <c r="L84" s="168"/>
      <c r="M84" s="168"/>
      <c r="N84" s="168"/>
      <c r="O84" s="168"/>
      <c r="P84" s="168"/>
    </row>
    <row r="85" spans="1:16" ht="20.100000000000001" customHeight="1">
      <c r="A85" s="168"/>
      <c r="B85" s="168"/>
      <c r="C85" s="168"/>
      <c r="D85" s="168"/>
      <c r="E85" s="168"/>
      <c r="F85" s="168"/>
      <c r="G85" s="168"/>
      <c r="H85" s="168"/>
      <c r="I85" s="306"/>
      <c r="J85" s="168"/>
      <c r="K85" s="168"/>
      <c r="L85" s="168"/>
      <c r="M85" s="168"/>
      <c r="N85" s="168"/>
      <c r="O85" s="168"/>
      <c r="P85" s="168"/>
    </row>
    <row r="86" spans="1:16" ht="20.100000000000001" customHeight="1">
      <c r="A86" s="168"/>
      <c r="B86" s="168"/>
      <c r="C86" s="168"/>
      <c r="D86" s="168"/>
      <c r="E86" s="168"/>
      <c r="F86" s="168"/>
      <c r="G86" s="168"/>
      <c r="H86" s="168"/>
      <c r="I86" s="306"/>
      <c r="J86" s="168"/>
      <c r="K86" s="168"/>
      <c r="L86" s="168"/>
      <c r="M86" s="168"/>
      <c r="N86" s="168"/>
      <c r="O86" s="168"/>
      <c r="P86" s="168"/>
    </row>
    <row r="87" spans="1:16" ht="20.100000000000001" customHeight="1">
      <c r="A87" s="168"/>
      <c r="B87" s="168"/>
      <c r="C87" s="168"/>
      <c r="D87" s="168"/>
      <c r="E87" s="168"/>
      <c r="F87" s="168"/>
      <c r="G87" s="168"/>
      <c r="H87" s="168"/>
      <c r="I87" s="307"/>
      <c r="J87" s="168"/>
      <c r="K87" s="168"/>
      <c r="L87" s="168"/>
      <c r="M87" s="168"/>
      <c r="N87" s="168"/>
      <c r="O87" s="168"/>
      <c r="P87" s="168"/>
    </row>
    <row r="88" spans="1:16" ht="20.100000000000001" customHeight="1">
      <c r="A88" s="168"/>
      <c r="B88" s="168"/>
      <c r="C88" s="168"/>
      <c r="D88" s="168"/>
      <c r="E88" s="168"/>
      <c r="F88" s="168"/>
      <c r="G88" s="168"/>
      <c r="H88" s="168"/>
      <c r="I88" s="305"/>
      <c r="J88" s="168"/>
      <c r="K88" s="168"/>
      <c r="L88" s="168"/>
      <c r="M88" s="168"/>
      <c r="N88" s="168"/>
      <c r="O88" s="168"/>
      <c r="P88" s="168"/>
    </row>
    <row r="89" spans="1:16" ht="20.100000000000001" customHeight="1">
      <c r="A89" s="168"/>
      <c r="B89" s="168"/>
      <c r="C89" s="175"/>
      <c r="D89" s="175"/>
      <c r="E89" s="168"/>
      <c r="F89" s="168"/>
      <c r="G89" s="168"/>
      <c r="H89" s="168"/>
      <c r="I89" s="306"/>
      <c r="J89" s="168"/>
      <c r="K89" s="168"/>
      <c r="L89" s="168"/>
      <c r="M89" s="168"/>
      <c r="N89" s="168"/>
      <c r="O89" s="168"/>
      <c r="P89" s="168"/>
    </row>
    <row r="90" spans="1:16" ht="20.100000000000001" customHeight="1">
      <c r="A90" s="168"/>
      <c r="B90" s="168"/>
      <c r="C90" s="168"/>
      <c r="D90" s="168"/>
      <c r="E90" s="168"/>
      <c r="F90" s="168"/>
      <c r="G90" s="168"/>
      <c r="H90" s="168"/>
      <c r="I90" s="306"/>
      <c r="J90" s="168"/>
      <c r="K90" s="168"/>
      <c r="L90" s="168"/>
      <c r="M90" s="168"/>
      <c r="N90" s="168"/>
      <c r="O90" s="168"/>
      <c r="P90" s="168"/>
    </row>
    <row r="91" spans="1:16" ht="20.100000000000001" customHeight="1">
      <c r="A91" s="168"/>
      <c r="B91" s="168"/>
      <c r="C91" s="175"/>
      <c r="D91" s="168"/>
      <c r="E91" s="168"/>
      <c r="F91" s="168"/>
      <c r="G91" s="168"/>
      <c r="H91" s="168"/>
      <c r="I91" s="306"/>
      <c r="J91" s="168"/>
      <c r="K91" s="168"/>
      <c r="L91" s="168"/>
      <c r="M91" s="168"/>
      <c r="N91" s="168"/>
      <c r="O91" s="168"/>
      <c r="P91" s="168"/>
    </row>
    <row r="92" spans="1:16" ht="20.100000000000001" customHeight="1">
      <c r="A92" s="168"/>
      <c r="B92" s="168"/>
      <c r="C92" s="168"/>
      <c r="D92" s="168"/>
      <c r="E92" s="168"/>
      <c r="F92" s="168"/>
      <c r="G92" s="168"/>
      <c r="H92" s="168"/>
      <c r="I92" s="306"/>
      <c r="J92" s="168"/>
      <c r="K92" s="168"/>
      <c r="L92" s="168"/>
      <c r="M92" s="168"/>
      <c r="N92" s="168"/>
      <c r="O92" s="168"/>
      <c r="P92" s="168"/>
    </row>
    <row r="93" spans="1:16" ht="20.100000000000001" customHeight="1">
      <c r="A93" s="168"/>
      <c r="B93" s="168"/>
      <c r="C93" s="168"/>
      <c r="D93" s="168"/>
      <c r="E93" s="168"/>
      <c r="F93" s="168"/>
      <c r="G93" s="168"/>
      <c r="H93" s="168"/>
      <c r="I93" s="306"/>
      <c r="J93" s="168"/>
      <c r="K93" s="168"/>
      <c r="L93" s="168"/>
      <c r="M93" s="168"/>
      <c r="N93" s="168"/>
      <c r="O93" s="168"/>
      <c r="P93" s="168"/>
    </row>
    <row r="94" spans="1:16" ht="20.100000000000001" customHeight="1">
      <c r="A94" s="168"/>
      <c r="B94" s="168"/>
      <c r="C94" s="168"/>
      <c r="D94" s="168"/>
      <c r="E94" s="168"/>
      <c r="F94" s="168"/>
      <c r="G94" s="168"/>
      <c r="H94" s="168"/>
      <c r="I94" s="306"/>
      <c r="J94" s="168"/>
      <c r="K94" s="168"/>
      <c r="L94" s="168"/>
      <c r="M94" s="168"/>
      <c r="N94" s="168"/>
      <c r="O94" s="168"/>
      <c r="P94" s="168"/>
    </row>
    <row r="95" spans="1:16" ht="20.100000000000001" customHeight="1">
      <c r="A95" s="168"/>
      <c r="B95" s="168"/>
      <c r="C95" s="168"/>
      <c r="D95" s="168"/>
      <c r="E95" s="168"/>
      <c r="F95" s="168"/>
      <c r="G95" s="168"/>
      <c r="H95" s="168"/>
      <c r="I95" s="306"/>
      <c r="J95" s="168"/>
      <c r="K95" s="168"/>
      <c r="L95" s="168"/>
      <c r="M95" s="168"/>
      <c r="N95" s="168"/>
      <c r="O95" s="168"/>
      <c r="P95" s="168"/>
    </row>
    <row r="96" spans="1:16" ht="20.100000000000001" customHeight="1">
      <c r="A96" s="168"/>
      <c r="B96" s="168"/>
      <c r="C96" s="168"/>
      <c r="D96" s="168"/>
      <c r="E96" s="168"/>
      <c r="F96" s="168"/>
      <c r="G96" s="168"/>
      <c r="H96" s="168"/>
      <c r="I96" s="306"/>
      <c r="J96" s="168"/>
      <c r="K96" s="168"/>
      <c r="L96" s="168"/>
      <c r="M96" s="168"/>
      <c r="N96" s="168"/>
      <c r="O96" s="168"/>
      <c r="P96" s="168"/>
    </row>
    <row r="97" spans="1:16" ht="20.100000000000001" customHeight="1">
      <c r="A97" s="168"/>
      <c r="B97" s="168"/>
      <c r="C97" s="168"/>
      <c r="D97" s="168"/>
      <c r="E97" s="168"/>
      <c r="F97" s="168"/>
      <c r="G97" s="168"/>
      <c r="H97" s="168"/>
      <c r="I97" s="306"/>
      <c r="J97" s="168"/>
      <c r="K97" s="168"/>
      <c r="L97" s="168"/>
      <c r="M97" s="168"/>
      <c r="N97" s="168"/>
      <c r="O97" s="168"/>
      <c r="P97" s="168"/>
    </row>
    <row r="98" spans="1:16" ht="20.100000000000001" customHeight="1">
      <c r="A98" s="168"/>
      <c r="B98" s="168"/>
      <c r="C98" s="168"/>
      <c r="D98" s="168"/>
      <c r="E98" s="168"/>
      <c r="F98" s="168"/>
      <c r="G98" s="168"/>
      <c r="H98" s="168"/>
      <c r="I98" s="306"/>
      <c r="J98" s="168"/>
      <c r="K98" s="168"/>
      <c r="L98" s="168"/>
      <c r="M98" s="168"/>
      <c r="N98" s="168"/>
      <c r="O98" s="168"/>
      <c r="P98" s="168"/>
    </row>
    <row r="99" spans="1:16" ht="20.100000000000001" customHeight="1">
      <c r="A99" s="168"/>
      <c r="B99" s="168"/>
      <c r="C99" s="168"/>
      <c r="D99" s="168"/>
      <c r="E99" s="168"/>
      <c r="F99" s="168"/>
      <c r="G99" s="168"/>
      <c r="H99" s="168"/>
      <c r="I99" s="306"/>
      <c r="J99" s="168"/>
      <c r="K99" s="168"/>
      <c r="L99" s="168"/>
      <c r="M99" s="168"/>
      <c r="N99" s="168"/>
      <c r="O99" s="168"/>
      <c r="P99" s="168"/>
    </row>
    <row r="100" spans="1:16" ht="20.100000000000001" customHeight="1">
      <c r="A100" s="168"/>
      <c r="B100" s="168"/>
      <c r="C100" s="168"/>
      <c r="D100" s="168"/>
      <c r="E100" s="168"/>
      <c r="F100" s="168"/>
      <c r="G100" s="168"/>
      <c r="H100" s="168"/>
      <c r="I100" s="306"/>
      <c r="J100" s="168"/>
      <c r="K100" s="168"/>
      <c r="L100" s="168"/>
      <c r="M100" s="168"/>
      <c r="N100" s="168"/>
      <c r="O100" s="168"/>
      <c r="P100" s="168"/>
    </row>
    <row r="101" spans="1:16" ht="20.100000000000001" customHeight="1">
      <c r="A101" s="168"/>
      <c r="B101" s="168"/>
      <c r="C101" s="168"/>
      <c r="D101" s="168"/>
      <c r="E101" s="168"/>
      <c r="F101" s="168"/>
      <c r="G101" s="168"/>
      <c r="H101" s="168"/>
      <c r="I101" s="307"/>
      <c r="J101" s="168"/>
      <c r="K101" s="168"/>
      <c r="L101" s="168"/>
      <c r="M101" s="168"/>
      <c r="N101" s="168"/>
      <c r="O101" s="168"/>
      <c r="P101" s="168"/>
    </row>
    <row r="102" spans="1:16" ht="15.6">
      <c r="A102" s="168"/>
      <c r="B102" s="168"/>
      <c r="C102" s="168"/>
      <c r="D102" s="168"/>
      <c r="E102" s="168"/>
      <c r="F102" s="168"/>
      <c r="G102" s="168"/>
      <c r="H102" s="168"/>
      <c r="I102" s="305"/>
      <c r="J102" s="168"/>
      <c r="K102" s="168"/>
      <c r="L102" s="168"/>
      <c r="M102" s="168"/>
      <c r="N102" s="168"/>
      <c r="O102" s="168"/>
      <c r="P102" s="168"/>
    </row>
    <row r="103" spans="1:16" ht="15.6">
      <c r="A103" s="168"/>
      <c r="B103" s="168"/>
      <c r="C103" s="168"/>
      <c r="D103" s="168"/>
      <c r="E103" s="168"/>
      <c r="F103" s="168"/>
      <c r="G103" s="168"/>
      <c r="H103" s="168"/>
      <c r="I103" s="306"/>
      <c r="J103" s="168"/>
      <c r="K103" s="168"/>
      <c r="L103" s="168"/>
      <c r="M103" s="168"/>
      <c r="N103" s="168"/>
      <c r="O103" s="168"/>
      <c r="P103" s="168"/>
    </row>
    <row r="104" spans="1:16" ht="15.6">
      <c r="A104" s="168"/>
      <c r="B104" s="168"/>
      <c r="C104" s="168"/>
      <c r="D104" s="168"/>
      <c r="E104" s="168"/>
      <c r="F104" s="168"/>
      <c r="G104" s="168"/>
      <c r="H104" s="168"/>
      <c r="I104" s="306"/>
      <c r="J104" s="168"/>
      <c r="K104" s="168"/>
      <c r="L104" s="168"/>
      <c r="M104" s="168"/>
      <c r="N104" s="168"/>
      <c r="O104" s="168"/>
      <c r="P104" s="168"/>
    </row>
    <row r="105" spans="1:16" ht="15.6">
      <c r="A105" s="168"/>
      <c r="B105" s="168"/>
      <c r="C105" s="168"/>
      <c r="D105" s="168"/>
      <c r="E105" s="168"/>
      <c r="F105" s="168"/>
      <c r="G105" s="168"/>
      <c r="H105" s="168"/>
      <c r="I105" s="306"/>
      <c r="J105" s="168"/>
      <c r="K105" s="168"/>
      <c r="L105" s="168"/>
      <c r="M105" s="168"/>
      <c r="N105" s="168"/>
      <c r="O105" s="168"/>
      <c r="P105" s="168"/>
    </row>
    <row r="106" spans="1:16" ht="15.6">
      <c r="A106" s="168"/>
      <c r="B106" s="168"/>
      <c r="C106" s="168"/>
      <c r="D106" s="168"/>
      <c r="E106" s="168"/>
      <c r="F106" s="168"/>
      <c r="G106" s="168"/>
      <c r="H106" s="168"/>
      <c r="I106" s="306"/>
      <c r="J106" s="168"/>
      <c r="K106" s="168"/>
      <c r="L106" s="168"/>
      <c r="M106" s="168"/>
      <c r="N106" s="168"/>
      <c r="O106" s="168"/>
      <c r="P106" s="168"/>
    </row>
    <row r="107" spans="1:16" ht="15.6">
      <c r="A107" s="168"/>
      <c r="B107" s="168"/>
      <c r="C107" s="168"/>
      <c r="D107" s="168"/>
      <c r="E107" s="168"/>
      <c r="F107" s="168"/>
      <c r="G107" s="168"/>
      <c r="H107" s="168"/>
      <c r="I107" s="307"/>
      <c r="J107" s="168"/>
      <c r="K107" s="168"/>
      <c r="L107" s="168"/>
      <c r="M107" s="168"/>
      <c r="N107" s="168"/>
      <c r="O107" s="168"/>
      <c r="P107" s="168"/>
    </row>
    <row r="108" spans="1:16" ht="15.6">
      <c r="A108" s="168"/>
      <c r="B108" s="168"/>
      <c r="C108" s="168"/>
      <c r="D108" s="168"/>
      <c r="E108" s="168"/>
      <c r="F108" s="168"/>
      <c r="G108" s="168"/>
      <c r="H108" s="168"/>
      <c r="I108" s="305"/>
      <c r="J108" s="168"/>
      <c r="K108" s="168"/>
      <c r="L108" s="168"/>
      <c r="M108" s="168"/>
      <c r="N108" s="168"/>
      <c r="O108" s="168"/>
      <c r="P108" s="168"/>
    </row>
    <row r="109" spans="1:16" ht="15.6">
      <c r="A109" s="168"/>
      <c r="B109" s="168"/>
      <c r="C109" s="168"/>
      <c r="D109" s="168"/>
      <c r="E109" s="168"/>
      <c r="F109" s="168"/>
      <c r="G109" s="168"/>
      <c r="H109" s="168"/>
      <c r="I109" s="306"/>
      <c r="J109" s="168"/>
      <c r="K109" s="168"/>
      <c r="L109" s="168"/>
      <c r="M109" s="168"/>
      <c r="N109" s="168"/>
      <c r="O109" s="168"/>
      <c r="P109" s="168"/>
    </row>
    <row r="110" spans="1:16" ht="15.6">
      <c r="A110" s="168"/>
      <c r="B110" s="168"/>
      <c r="C110" s="168"/>
      <c r="D110" s="168"/>
      <c r="E110" s="168"/>
      <c r="F110" s="168"/>
      <c r="G110" s="168"/>
      <c r="H110" s="168"/>
      <c r="I110" s="306"/>
      <c r="J110" s="168"/>
      <c r="K110" s="168"/>
      <c r="L110" s="168"/>
      <c r="M110" s="168"/>
      <c r="N110" s="168"/>
      <c r="O110" s="168"/>
      <c r="P110" s="168"/>
    </row>
    <row r="111" spans="1:16" ht="15.6">
      <c r="A111" s="168"/>
      <c r="B111" s="168"/>
      <c r="C111" s="168"/>
      <c r="D111" s="168"/>
      <c r="E111" s="168"/>
      <c r="F111" s="168"/>
      <c r="G111" s="168"/>
      <c r="H111" s="168"/>
      <c r="I111" s="306"/>
      <c r="J111" s="168"/>
      <c r="K111" s="168"/>
      <c r="L111" s="168"/>
      <c r="M111" s="168"/>
      <c r="N111" s="168"/>
      <c r="O111" s="168"/>
      <c r="P111" s="168"/>
    </row>
    <row r="112" spans="1:16" ht="15.6">
      <c r="A112" s="168"/>
      <c r="B112" s="168"/>
      <c r="C112" s="168"/>
      <c r="D112" s="168"/>
      <c r="E112" s="168"/>
      <c r="F112" s="168"/>
      <c r="G112" s="168"/>
      <c r="H112" s="168"/>
      <c r="I112" s="306"/>
      <c r="J112" s="168"/>
      <c r="K112" s="168"/>
      <c r="L112" s="168"/>
      <c r="M112" s="168"/>
      <c r="N112" s="168"/>
      <c r="O112" s="168"/>
      <c r="P112" s="168"/>
    </row>
    <row r="113" spans="1:16" ht="15.6">
      <c r="A113" s="168"/>
      <c r="B113" s="168"/>
      <c r="C113" s="168"/>
      <c r="D113" s="168"/>
      <c r="E113" s="168"/>
      <c r="F113" s="168"/>
      <c r="G113" s="168"/>
      <c r="H113" s="168"/>
      <c r="I113" s="306"/>
      <c r="J113" s="168"/>
      <c r="K113" s="168"/>
      <c r="L113" s="168"/>
      <c r="M113" s="168"/>
      <c r="N113" s="168"/>
      <c r="O113" s="168"/>
      <c r="P113" s="168"/>
    </row>
    <row r="114" spans="1:16" ht="15.6">
      <c r="A114" s="168"/>
      <c r="B114" s="168"/>
      <c r="C114" s="168"/>
      <c r="D114" s="168"/>
      <c r="E114" s="168"/>
      <c r="F114" s="168"/>
      <c r="G114" s="168"/>
      <c r="H114" s="168"/>
      <c r="I114" s="306"/>
      <c r="J114" s="168"/>
      <c r="K114" s="168"/>
      <c r="L114" s="168"/>
      <c r="M114" s="168"/>
      <c r="N114" s="168"/>
      <c r="O114" s="168"/>
      <c r="P114" s="168"/>
    </row>
    <row r="115" spans="1:16" ht="15.6">
      <c r="A115" s="168"/>
      <c r="B115" s="168"/>
      <c r="C115" s="168"/>
      <c r="D115" s="168"/>
      <c r="E115" s="168"/>
      <c r="F115" s="168"/>
      <c r="G115" s="168"/>
      <c r="H115" s="168"/>
      <c r="I115" s="306"/>
      <c r="J115" s="168"/>
      <c r="K115" s="168"/>
      <c r="L115" s="168"/>
      <c r="M115" s="168"/>
      <c r="N115" s="168"/>
      <c r="O115" s="168"/>
      <c r="P115" s="168"/>
    </row>
    <row r="116" spans="1:16" ht="15.6">
      <c r="A116" s="168"/>
      <c r="B116" s="168"/>
      <c r="C116" s="168"/>
      <c r="D116" s="168"/>
      <c r="E116" s="168"/>
      <c r="F116" s="168"/>
      <c r="G116" s="168"/>
      <c r="H116" s="168"/>
      <c r="I116" s="306"/>
      <c r="J116" s="168"/>
      <c r="K116" s="168"/>
      <c r="L116" s="168"/>
      <c r="M116" s="168"/>
      <c r="N116" s="168"/>
      <c r="O116" s="168"/>
      <c r="P116" s="168"/>
    </row>
    <row r="117" spans="1:16" ht="15.6">
      <c r="A117" s="168"/>
      <c r="B117" s="168"/>
      <c r="C117" s="168"/>
      <c r="D117" s="168"/>
      <c r="E117" s="168"/>
      <c r="F117" s="168"/>
      <c r="G117" s="168"/>
      <c r="H117" s="168"/>
      <c r="I117" s="306"/>
      <c r="J117" s="168"/>
      <c r="K117" s="168"/>
      <c r="L117" s="168"/>
      <c r="M117" s="168"/>
      <c r="N117" s="168"/>
      <c r="O117" s="168"/>
      <c r="P117" s="168"/>
    </row>
    <row r="118" spans="1:16" ht="15.6">
      <c r="A118" s="168"/>
      <c r="B118" s="168"/>
      <c r="C118" s="168"/>
      <c r="D118" s="168"/>
      <c r="E118" s="168"/>
      <c r="F118" s="168"/>
      <c r="G118" s="168"/>
      <c r="H118" s="168"/>
      <c r="I118" s="306"/>
      <c r="J118" s="168"/>
      <c r="K118" s="168"/>
      <c r="L118" s="168"/>
      <c r="M118" s="168"/>
      <c r="N118" s="168"/>
      <c r="O118" s="168"/>
      <c r="P118" s="168"/>
    </row>
    <row r="119" spans="1:16" ht="15.6">
      <c r="A119" s="168"/>
      <c r="B119" s="168"/>
      <c r="C119" s="168"/>
      <c r="D119" s="168"/>
      <c r="E119" s="168"/>
      <c r="F119" s="168"/>
      <c r="G119" s="168"/>
      <c r="H119" s="168"/>
      <c r="I119" s="306"/>
      <c r="J119" s="168"/>
      <c r="K119" s="168"/>
      <c r="L119" s="168"/>
      <c r="M119" s="168"/>
      <c r="N119" s="168"/>
      <c r="O119" s="168"/>
      <c r="P119" s="168"/>
    </row>
    <row r="120" spans="1:16" ht="15.6">
      <c r="A120" s="168"/>
      <c r="B120" s="168"/>
      <c r="C120" s="168"/>
      <c r="D120" s="168"/>
      <c r="E120" s="168"/>
      <c r="F120" s="168"/>
      <c r="G120" s="168"/>
      <c r="H120" s="168"/>
      <c r="I120" s="307"/>
      <c r="J120" s="168"/>
      <c r="K120" s="168"/>
      <c r="L120" s="168"/>
      <c r="M120" s="168"/>
      <c r="N120" s="168"/>
      <c r="O120" s="168"/>
      <c r="P120" s="168"/>
    </row>
    <row r="121" spans="1:16" ht="15.6">
      <c r="A121" s="168"/>
      <c r="B121" s="168"/>
      <c r="C121" s="168"/>
      <c r="D121" s="168"/>
      <c r="E121" s="168"/>
      <c r="F121" s="168"/>
      <c r="G121" s="168"/>
      <c r="H121" s="168"/>
      <c r="I121" s="305"/>
      <c r="J121" s="168"/>
      <c r="K121" s="168"/>
      <c r="L121" s="168"/>
      <c r="M121" s="168"/>
      <c r="N121" s="176"/>
      <c r="O121" s="176"/>
      <c r="P121" s="176"/>
    </row>
    <row r="122" spans="1:16" ht="15.6">
      <c r="A122" s="168"/>
      <c r="B122" s="168"/>
      <c r="C122" s="168"/>
      <c r="D122" s="168"/>
      <c r="E122" s="168"/>
      <c r="F122" s="168"/>
      <c r="G122" s="168"/>
      <c r="H122" s="168"/>
      <c r="I122" s="306"/>
      <c r="J122" s="168"/>
      <c r="K122" s="168"/>
      <c r="L122" s="168"/>
      <c r="M122" s="168"/>
      <c r="N122" s="176"/>
      <c r="O122" s="176"/>
      <c r="P122" s="176"/>
    </row>
    <row r="123" spans="1:16" ht="15.6">
      <c r="A123" s="168"/>
      <c r="B123" s="168"/>
      <c r="C123" s="175"/>
      <c r="D123" s="175"/>
      <c r="E123" s="168"/>
      <c r="F123" s="168"/>
      <c r="G123" s="168"/>
      <c r="H123" s="168"/>
      <c r="I123" s="306"/>
      <c r="J123" s="168"/>
      <c r="K123" s="168"/>
      <c r="L123" s="168"/>
      <c r="M123" s="168"/>
      <c r="N123" s="176"/>
      <c r="O123" s="176"/>
      <c r="P123" s="176"/>
    </row>
    <row r="124" spans="1:16" ht="15.6">
      <c r="A124" s="168"/>
      <c r="B124" s="168"/>
      <c r="C124" s="168"/>
      <c r="D124" s="168"/>
      <c r="E124" s="168"/>
      <c r="F124" s="168"/>
      <c r="G124" s="168"/>
      <c r="H124" s="168"/>
      <c r="I124" s="306"/>
      <c r="J124" s="168"/>
      <c r="K124" s="168"/>
      <c r="L124" s="168"/>
      <c r="M124" s="168"/>
      <c r="N124" s="176"/>
      <c r="O124" s="176"/>
      <c r="P124" s="176"/>
    </row>
    <row r="125" spans="1:16" ht="15.6">
      <c r="A125" s="168"/>
      <c r="B125" s="168"/>
      <c r="C125" s="168"/>
      <c r="D125" s="168"/>
      <c r="E125" s="168"/>
      <c r="F125" s="168"/>
      <c r="G125" s="168"/>
      <c r="H125" s="168"/>
      <c r="I125" s="306"/>
      <c r="J125" s="168"/>
      <c r="K125" s="168"/>
      <c r="L125" s="168"/>
      <c r="M125" s="168"/>
      <c r="N125" s="176"/>
      <c r="O125" s="176"/>
      <c r="P125" s="176"/>
    </row>
    <row r="126" spans="1:16" ht="15.6">
      <c r="A126" s="168"/>
      <c r="B126" s="168"/>
      <c r="C126" s="168"/>
      <c r="D126" s="168"/>
      <c r="E126" s="168"/>
      <c r="F126" s="168"/>
      <c r="G126" s="168"/>
      <c r="H126" s="168"/>
      <c r="I126" s="306"/>
      <c r="J126" s="168"/>
      <c r="K126" s="168"/>
      <c r="L126" s="168"/>
      <c r="M126" s="168"/>
      <c r="N126" s="176"/>
      <c r="O126" s="176"/>
      <c r="P126" s="176"/>
    </row>
    <row r="127" spans="1:16" ht="15.6">
      <c r="A127" s="168"/>
      <c r="B127" s="168"/>
      <c r="C127" s="168"/>
      <c r="D127" s="168"/>
      <c r="E127" s="168"/>
      <c r="F127" s="168"/>
      <c r="G127" s="168"/>
      <c r="H127" s="168"/>
      <c r="I127" s="306"/>
      <c r="J127" s="168"/>
      <c r="K127" s="168"/>
      <c r="L127" s="168"/>
      <c r="M127" s="168"/>
      <c r="N127" s="176"/>
      <c r="O127" s="176"/>
      <c r="P127" s="176"/>
    </row>
    <row r="128" spans="1:16" ht="15.6">
      <c r="A128" s="168"/>
      <c r="B128" s="168"/>
      <c r="C128" s="168"/>
      <c r="D128" s="168"/>
      <c r="E128" s="168"/>
      <c r="F128" s="168"/>
      <c r="G128" s="168"/>
      <c r="H128" s="168"/>
      <c r="I128" s="306"/>
      <c r="J128" s="168"/>
      <c r="K128" s="168"/>
      <c r="L128" s="168"/>
      <c r="M128" s="168"/>
      <c r="N128" s="176"/>
      <c r="O128" s="176"/>
      <c r="P128" s="176"/>
    </row>
    <row r="129" spans="1:16" ht="15.6">
      <c r="A129" s="168"/>
      <c r="B129" s="168"/>
      <c r="C129" s="168"/>
      <c r="D129" s="168"/>
      <c r="E129" s="168"/>
      <c r="F129" s="168"/>
      <c r="G129" s="168"/>
      <c r="H129" s="168"/>
      <c r="I129" s="306"/>
      <c r="J129" s="168"/>
      <c r="K129" s="168"/>
      <c r="L129" s="168"/>
      <c r="M129" s="168"/>
      <c r="N129" s="176"/>
      <c r="O129" s="176"/>
      <c r="P129" s="176"/>
    </row>
    <row r="130" spans="1:16" ht="15.6">
      <c r="A130" s="168"/>
      <c r="B130" s="168"/>
      <c r="C130" s="168"/>
      <c r="D130" s="168"/>
      <c r="E130" s="168"/>
      <c r="F130" s="168"/>
      <c r="G130" s="168"/>
      <c r="H130" s="168"/>
      <c r="I130" s="306"/>
      <c r="J130" s="168"/>
      <c r="K130" s="168"/>
      <c r="L130" s="168"/>
      <c r="M130" s="168"/>
      <c r="N130" s="176"/>
      <c r="O130" s="176"/>
      <c r="P130" s="176"/>
    </row>
    <row r="131" spans="1:16" ht="15.6">
      <c r="A131" s="168"/>
      <c r="B131" s="168"/>
      <c r="C131" s="168"/>
      <c r="D131" s="168"/>
      <c r="E131" s="168"/>
      <c r="F131" s="168"/>
      <c r="G131" s="168"/>
      <c r="H131" s="168"/>
      <c r="I131" s="306"/>
      <c r="J131" s="168"/>
      <c r="K131" s="168"/>
      <c r="L131" s="168"/>
      <c r="M131" s="168"/>
      <c r="N131" s="176"/>
      <c r="O131" s="176"/>
      <c r="P131" s="176"/>
    </row>
    <row r="132" spans="1:16" ht="15.6">
      <c r="A132" s="168"/>
      <c r="B132" s="168"/>
      <c r="C132" s="168"/>
      <c r="D132" s="168"/>
      <c r="E132" s="168"/>
      <c r="F132" s="168"/>
      <c r="G132" s="168"/>
      <c r="H132" s="168"/>
      <c r="I132" s="306"/>
      <c r="J132" s="168"/>
      <c r="K132" s="168"/>
      <c r="L132" s="168"/>
      <c r="M132" s="168"/>
      <c r="N132" s="176"/>
      <c r="O132" s="176"/>
      <c r="P132" s="176"/>
    </row>
    <row r="133" spans="1:16" ht="15.6">
      <c r="A133" s="168"/>
      <c r="B133" s="168"/>
      <c r="C133" s="168"/>
      <c r="D133" s="168"/>
      <c r="E133" s="168"/>
      <c r="F133" s="168"/>
      <c r="G133" s="168"/>
      <c r="H133" s="168"/>
      <c r="I133" s="307"/>
      <c r="J133" s="168"/>
      <c r="K133" s="168"/>
      <c r="L133" s="168"/>
      <c r="M133" s="168"/>
      <c r="N133" s="176"/>
      <c r="O133" s="176"/>
      <c r="P133" s="176"/>
    </row>
    <row r="134" spans="1:16" ht="15.6">
      <c r="A134" s="176"/>
      <c r="B134" s="176"/>
      <c r="C134" s="176"/>
      <c r="D134" s="176"/>
      <c r="E134" s="176"/>
      <c r="F134" s="176"/>
      <c r="G134" s="176"/>
      <c r="H134" s="176"/>
      <c r="I134" s="308"/>
      <c r="J134" s="176"/>
      <c r="K134" s="177"/>
      <c r="L134" s="176"/>
      <c r="M134" s="176"/>
      <c r="N134" s="176"/>
      <c r="O134" s="176"/>
      <c r="P134" s="176"/>
    </row>
    <row r="135" spans="1:16">
      <c r="A135" s="176"/>
      <c r="B135" s="176"/>
      <c r="C135" s="176"/>
      <c r="D135" s="176"/>
      <c r="E135" s="176"/>
      <c r="F135" s="176"/>
      <c r="G135" s="176"/>
      <c r="H135" s="176"/>
      <c r="I135" s="309"/>
      <c r="J135" s="176"/>
      <c r="K135" s="176"/>
      <c r="L135" s="176"/>
      <c r="M135" s="176"/>
      <c r="N135" s="176"/>
      <c r="O135" s="176"/>
      <c r="P135" s="176"/>
    </row>
    <row r="136" spans="1:16">
      <c r="A136" s="176"/>
      <c r="B136" s="176"/>
      <c r="C136" s="176"/>
      <c r="D136" s="176"/>
      <c r="E136" s="176"/>
      <c r="F136" s="176"/>
      <c r="G136" s="176"/>
      <c r="H136" s="176"/>
      <c r="I136" s="309"/>
      <c r="J136" s="176"/>
      <c r="K136" s="176"/>
      <c r="L136" s="176"/>
      <c r="M136" s="176"/>
      <c r="N136" s="176"/>
      <c r="O136" s="176"/>
      <c r="P136" s="176"/>
    </row>
    <row r="137" spans="1:16">
      <c r="A137" s="176"/>
      <c r="B137" s="176"/>
      <c r="C137" s="176"/>
      <c r="D137" s="176"/>
      <c r="E137" s="176"/>
      <c r="F137" s="176"/>
      <c r="G137" s="176"/>
      <c r="H137" s="176"/>
      <c r="I137" s="309"/>
      <c r="J137" s="176"/>
      <c r="K137" s="176"/>
      <c r="L137" s="176"/>
      <c r="M137" s="176"/>
      <c r="N137" s="176"/>
      <c r="O137" s="176"/>
      <c r="P137" s="176"/>
    </row>
    <row r="138" spans="1:16">
      <c r="A138" s="176"/>
      <c r="B138" s="176"/>
      <c r="C138" s="176"/>
      <c r="D138" s="176"/>
      <c r="E138" s="176"/>
      <c r="F138" s="176"/>
      <c r="G138" s="176"/>
      <c r="H138" s="176"/>
      <c r="I138" s="309"/>
      <c r="J138" s="176"/>
      <c r="K138" s="176"/>
      <c r="L138" s="176"/>
      <c r="M138" s="176"/>
      <c r="N138" s="176"/>
      <c r="O138" s="176"/>
      <c r="P138" s="176"/>
    </row>
    <row r="139" spans="1:16">
      <c r="A139" s="176"/>
      <c r="B139" s="176"/>
      <c r="C139" s="176"/>
      <c r="D139" s="176"/>
      <c r="E139" s="176"/>
      <c r="F139" s="176"/>
      <c r="G139" s="176"/>
      <c r="H139" s="176"/>
      <c r="I139" s="309"/>
      <c r="J139" s="176"/>
      <c r="K139" s="176"/>
      <c r="L139" s="176"/>
      <c r="M139" s="176"/>
      <c r="N139" s="176"/>
      <c r="O139" s="176"/>
      <c r="P139" s="176"/>
    </row>
    <row r="140" spans="1:16">
      <c r="A140" s="176"/>
      <c r="B140" s="176"/>
      <c r="C140" s="176"/>
      <c r="D140" s="176"/>
      <c r="E140" s="176"/>
      <c r="F140" s="176"/>
      <c r="G140" s="176"/>
      <c r="H140" s="176"/>
      <c r="I140" s="309"/>
      <c r="J140" s="176"/>
      <c r="K140" s="176"/>
      <c r="L140" s="176"/>
      <c r="M140" s="176"/>
      <c r="N140" s="176"/>
      <c r="O140" s="176"/>
      <c r="P140" s="176"/>
    </row>
    <row r="141" spans="1:16">
      <c r="A141" s="176"/>
      <c r="B141" s="176"/>
      <c r="C141" s="176"/>
      <c r="D141" s="176"/>
      <c r="E141" s="176"/>
      <c r="F141" s="176"/>
      <c r="G141" s="176"/>
      <c r="H141" s="176"/>
      <c r="I141" s="309"/>
      <c r="J141" s="176"/>
      <c r="K141" s="176"/>
      <c r="L141" s="176"/>
      <c r="M141" s="176"/>
      <c r="N141" s="176"/>
      <c r="O141" s="176"/>
      <c r="P141" s="176"/>
    </row>
    <row r="142" spans="1:16">
      <c r="A142" s="176"/>
      <c r="B142" s="176"/>
      <c r="C142" s="176"/>
      <c r="D142" s="176"/>
      <c r="E142" s="176"/>
      <c r="F142" s="176"/>
      <c r="G142" s="176"/>
      <c r="H142" s="176"/>
      <c r="I142" s="309"/>
      <c r="J142" s="176"/>
      <c r="K142" s="176"/>
      <c r="L142" s="176"/>
      <c r="M142" s="176"/>
      <c r="N142" s="176"/>
      <c r="O142" s="176"/>
      <c r="P142" s="176"/>
    </row>
    <row r="143" spans="1:16">
      <c r="A143" s="176"/>
      <c r="B143" s="176"/>
      <c r="C143" s="176"/>
      <c r="D143" s="176"/>
      <c r="E143" s="176"/>
      <c r="F143" s="176"/>
      <c r="G143" s="176"/>
      <c r="H143" s="176"/>
      <c r="I143" s="309"/>
      <c r="J143" s="176"/>
      <c r="K143" s="176"/>
      <c r="L143" s="176"/>
      <c r="M143" s="176"/>
      <c r="N143" s="176"/>
      <c r="O143" s="176"/>
      <c r="P143" s="176"/>
    </row>
    <row r="144" spans="1:16">
      <c r="A144" s="176"/>
      <c r="B144" s="176"/>
      <c r="C144" s="176"/>
      <c r="D144" s="176"/>
      <c r="E144" s="176"/>
      <c r="F144" s="176"/>
      <c r="G144" s="176"/>
      <c r="H144" s="176"/>
      <c r="I144" s="309"/>
      <c r="J144" s="176"/>
      <c r="K144" s="176"/>
      <c r="L144" s="176"/>
      <c r="M144" s="176"/>
      <c r="N144" s="176"/>
      <c r="O144" s="176"/>
      <c r="P144" s="176"/>
    </row>
    <row r="145" spans="1:16">
      <c r="A145" s="176"/>
      <c r="B145" s="176"/>
      <c r="C145" s="176"/>
      <c r="D145" s="176"/>
      <c r="E145" s="176"/>
      <c r="F145" s="176"/>
      <c r="G145" s="176"/>
      <c r="H145" s="176"/>
      <c r="I145" s="309"/>
      <c r="J145" s="176"/>
      <c r="K145" s="176"/>
      <c r="L145" s="176"/>
      <c r="M145" s="176"/>
      <c r="N145" s="176"/>
      <c r="O145" s="176"/>
      <c r="P145" s="176"/>
    </row>
    <row r="146" spans="1:16">
      <c r="A146" s="176"/>
      <c r="B146" s="176"/>
      <c r="C146" s="176"/>
      <c r="D146" s="176"/>
      <c r="E146" s="176"/>
      <c r="F146" s="176"/>
      <c r="G146" s="176"/>
      <c r="H146" s="176"/>
      <c r="I146" s="310"/>
      <c r="J146" s="176"/>
      <c r="K146" s="176"/>
      <c r="L146" s="176"/>
      <c r="M146" s="176"/>
      <c r="N146" s="176"/>
      <c r="O146" s="176"/>
      <c r="P146" s="176"/>
    </row>
    <row r="147" spans="1:16">
      <c r="A147" s="176"/>
      <c r="B147" s="176"/>
      <c r="C147" s="176"/>
      <c r="D147" s="176"/>
      <c r="E147" s="176"/>
      <c r="F147" s="176"/>
      <c r="G147" s="176"/>
      <c r="H147" s="176"/>
      <c r="I147" s="176"/>
      <c r="J147" s="176"/>
      <c r="K147" s="176"/>
      <c r="L147" s="176"/>
      <c r="M147" s="176"/>
      <c r="N147" s="176"/>
      <c r="O147" s="176"/>
      <c r="P147" s="176"/>
    </row>
    <row r="148" spans="1:16">
      <c r="A148" s="176"/>
      <c r="B148" s="176"/>
      <c r="C148" s="176"/>
      <c r="D148" s="176"/>
      <c r="E148" s="176"/>
      <c r="F148" s="176"/>
      <c r="G148" s="176"/>
      <c r="H148" s="176"/>
      <c r="I148" s="176"/>
      <c r="J148" s="176"/>
      <c r="K148" s="176"/>
      <c r="L148" s="176"/>
      <c r="M148" s="176"/>
      <c r="N148" s="176"/>
      <c r="O148" s="176"/>
      <c r="P148" s="176"/>
    </row>
    <row r="149" spans="1:16">
      <c r="A149" s="176"/>
      <c r="B149" s="176"/>
      <c r="C149" s="176"/>
      <c r="D149" s="176"/>
      <c r="E149" s="176"/>
      <c r="F149" s="176"/>
      <c r="G149" s="176"/>
      <c r="H149" s="176"/>
      <c r="I149" s="176"/>
      <c r="J149" s="176"/>
      <c r="K149" s="176"/>
      <c r="L149" s="176"/>
      <c r="M149" s="176"/>
      <c r="N149" s="176"/>
      <c r="O149" s="176"/>
      <c r="P149" s="176"/>
    </row>
    <row r="150" spans="1:16">
      <c r="A150" s="176"/>
      <c r="B150" s="176"/>
      <c r="C150" s="176"/>
      <c r="D150" s="176"/>
      <c r="E150" s="176"/>
      <c r="F150" s="176"/>
      <c r="G150" s="176"/>
      <c r="H150" s="176"/>
      <c r="I150" s="176"/>
      <c r="J150" s="176"/>
      <c r="K150" s="176"/>
      <c r="L150" s="176"/>
      <c r="M150" s="176"/>
      <c r="N150" s="176"/>
      <c r="O150" s="176"/>
      <c r="P150" s="176"/>
    </row>
    <row r="151" spans="1:16">
      <c r="A151" s="176"/>
      <c r="B151" s="176"/>
      <c r="C151" s="176"/>
      <c r="D151" s="176"/>
      <c r="E151" s="176"/>
      <c r="F151" s="176"/>
      <c r="G151" s="176"/>
      <c r="H151" s="176"/>
      <c r="I151" s="176"/>
      <c r="J151" s="176"/>
      <c r="K151" s="176"/>
      <c r="L151" s="176"/>
      <c r="M151" s="176"/>
      <c r="N151" s="176"/>
      <c r="O151" s="176"/>
      <c r="P151" s="176"/>
    </row>
    <row r="152" spans="1:16">
      <c r="A152" s="176"/>
      <c r="B152" s="176"/>
      <c r="C152" s="176"/>
      <c r="D152" s="176"/>
      <c r="E152" s="176"/>
      <c r="F152" s="176"/>
      <c r="G152" s="176"/>
      <c r="H152" s="176"/>
      <c r="I152" s="176"/>
      <c r="J152" s="176"/>
      <c r="K152" s="176"/>
      <c r="L152" s="176"/>
      <c r="M152" s="176"/>
      <c r="N152" s="176"/>
      <c r="O152" s="176"/>
      <c r="P152" s="176"/>
    </row>
  </sheetData>
  <mergeCells count="21">
    <mergeCell ref="A1:P1"/>
    <mergeCell ref="B2:K2"/>
    <mergeCell ref="L2:M2"/>
    <mergeCell ref="O2:P2"/>
    <mergeCell ref="A3:H3"/>
    <mergeCell ref="J3:P3"/>
    <mergeCell ref="I5:I11"/>
    <mergeCell ref="B7:B8"/>
    <mergeCell ref="B9:B10"/>
    <mergeCell ref="I12:I16"/>
    <mergeCell ref="B13:B16"/>
    <mergeCell ref="I121:I133"/>
    <mergeCell ref="I134:I146"/>
    <mergeCell ref="I17:I36"/>
    <mergeCell ref="I37:I43"/>
    <mergeCell ref="I71:I87"/>
    <mergeCell ref="I88:I101"/>
    <mergeCell ref="I102:I107"/>
    <mergeCell ref="I108:I120"/>
    <mergeCell ref="I46:I54"/>
    <mergeCell ref="I55:I60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1833-AEAF-4A49-8944-45DA25C4228D}">
  <dimension ref="A1:D11"/>
  <sheetViews>
    <sheetView workbookViewId="0">
      <selection activeCell="C15" sqref="C15"/>
    </sheetView>
  </sheetViews>
  <sheetFormatPr defaultRowHeight="13.8"/>
  <cols>
    <col min="1" max="1" width="26" style="31" customWidth="1"/>
    <col min="2" max="4" width="8.88671875" style="31"/>
  </cols>
  <sheetData>
    <row r="1" spans="1:4">
      <c r="A1" s="239" t="s">
        <v>125</v>
      </c>
      <c r="B1" s="239"/>
      <c r="C1" s="239"/>
    </row>
    <row r="2" spans="1:4">
      <c r="A2" s="32"/>
      <c r="B2" s="32" t="s">
        <v>126</v>
      </c>
      <c r="C2" s="32" t="s">
        <v>127</v>
      </c>
    </row>
    <row r="3" spans="1:4">
      <c r="A3" s="32" t="s">
        <v>22</v>
      </c>
      <c r="B3" s="33">
        <v>0.5</v>
      </c>
      <c r="C3" s="33">
        <v>0.5</v>
      </c>
    </row>
    <row r="4" spans="1:4">
      <c r="A4" s="32" t="s">
        <v>70</v>
      </c>
      <c r="B4" s="33">
        <v>0.55000000000000004</v>
      </c>
      <c r="C4" s="33">
        <v>0.45</v>
      </c>
    </row>
    <row r="5" spans="1:4">
      <c r="A5" s="32" t="s">
        <v>11</v>
      </c>
      <c r="B5" s="34">
        <v>0.625</v>
      </c>
      <c r="C5" s="34">
        <v>0.375</v>
      </c>
      <c r="D5" s="31" t="s">
        <v>128</v>
      </c>
    </row>
    <row r="6" spans="1:4">
      <c r="A6" s="32" t="s">
        <v>14</v>
      </c>
      <c r="B6" s="34">
        <v>0.625</v>
      </c>
      <c r="C6" s="34">
        <v>0.375</v>
      </c>
    </row>
    <row r="7" spans="1:4">
      <c r="A7" s="32" t="s">
        <v>74</v>
      </c>
      <c r="B7" s="34">
        <v>0.625</v>
      </c>
      <c r="C7" s="34">
        <v>0.375</v>
      </c>
    </row>
    <row r="8" spans="1:4">
      <c r="A8" s="32" t="s">
        <v>129</v>
      </c>
      <c r="B8" s="33">
        <v>0.6</v>
      </c>
      <c r="C8" s="33">
        <v>0.4</v>
      </c>
    </row>
    <row r="9" spans="1:4">
      <c r="A9" s="32" t="s">
        <v>67</v>
      </c>
      <c r="B9" s="33">
        <v>0.5</v>
      </c>
      <c r="C9" s="33">
        <v>0.5</v>
      </c>
    </row>
    <row r="10" spans="1:4">
      <c r="A10" s="32" t="s">
        <v>130</v>
      </c>
      <c r="B10" s="33">
        <v>0.5</v>
      </c>
      <c r="C10" s="33">
        <v>0.5</v>
      </c>
    </row>
    <row r="11" spans="1:4">
      <c r="A11" s="31" t="s">
        <v>581</v>
      </c>
      <c r="B11" s="31">
        <v>50</v>
      </c>
      <c r="C11" s="31">
        <v>50</v>
      </c>
    </row>
  </sheetData>
  <mergeCells count="1">
    <mergeCell ref="A1:C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CD633-FFAB-4976-AC3F-CEE29B6F3990}">
  <dimension ref="A2:L66"/>
  <sheetViews>
    <sheetView zoomScaleNormal="100" zoomScaleSheetLayoutView="100" workbookViewId="0">
      <pane ySplit="2" topLeftCell="A48" activePane="bottomLeft" state="frozen"/>
      <selection pane="bottomLeft" activeCell="J56" sqref="J56"/>
    </sheetView>
  </sheetViews>
  <sheetFormatPr defaultColWidth="10" defaultRowHeight="15" customHeight="1"/>
  <cols>
    <col min="1" max="1" width="12.77734375" style="1" customWidth="1"/>
    <col min="2" max="2" width="10" style="4"/>
    <col min="3" max="3" width="14.21875" style="1" customWidth="1"/>
    <col min="4" max="4" width="22.21875" style="1" customWidth="1"/>
    <col min="5" max="5" width="15.6640625" style="3" bestFit="1" customWidth="1"/>
    <col min="6" max="8" width="10" style="1"/>
    <col min="9" max="9" width="15.6640625" style="3" bestFit="1" customWidth="1"/>
    <col min="10" max="10" width="10.44140625" style="2" bestFit="1" customWidth="1"/>
    <col min="11" max="16384" width="10" style="1"/>
  </cols>
  <sheetData>
    <row r="2" spans="1:12" s="19" customFormat="1" ht="15" customHeight="1">
      <c r="A2" s="19" t="s">
        <v>95</v>
      </c>
      <c r="B2" s="22" t="s">
        <v>94</v>
      </c>
      <c r="C2" s="19" t="s">
        <v>93</v>
      </c>
      <c r="D2" s="19" t="s">
        <v>92</v>
      </c>
      <c r="E2" s="21" t="s">
        <v>91</v>
      </c>
      <c r="F2" s="19" t="s">
        <v>90</v>
      </c>
      <c r="G2" s="19" t="s">
        <v>89</v>
      </c>
      <c r="H2" s="19" t="s">
        <v>88</v>
      </c>
      <c r="I2" s="21" t="s">
        <v>87</v>
      </c>
      <c r="J2" s="22" t="s">
        <v>86</v>
      </c>
      <c r="K2" s="19" t="s">
        <v>85</v>
      </c>
      <c r="L2" s="19" t="s">
        <v>84</v>
      </c>
    </row>
    <row r="3" spans="1:12" ht="15" customHeight="1">
      <c r="A3" s="1" t="s">
        <v>22</v>
      </c>
      <c r="B3" s="9">
        <v>44623</v>
      </c>
      <c r="C3" s="1" t="s">
        <v>83</v>
      </c>
      <c r="D3" s="6" t="s">
        <v>138</v>
      </c>
      <c r="E3" s="5">
        <v>13800</v>
      </c>
      <c r="H3" s="1">
        <f>VLOOKUP(A3,[1]分成!A$1:C$65536,3,0)</f>
        <v>0.5</v>
      </c>
      <c r="I3" s="5">
        <f>E3*H3</f>
        <v>6900</v>
      </c>
    </row>
    <row r="4" spans="1:12" ht="15" customHeight="1">
      <c r="A4" s="1" t="s">
        <v>22</v>
      </c>
      <c r="C4" s="1" t="s">
        <v>50</v>
      </c>
      <c r="D4" s="8" t="s">
        <v>137</v>
      </c>
      <c r="E4" s="7">
        <v>880</v>
      </c>
      <c r="H4" s="1">
        <f>VLOOKUP(A4,[1]分成!A$1:C$65536,3,0)</f>
        <v>0.5</v>
      </c>
      <c r="I4" s="7">
        <f>E4*H4</f>
        <v>440</v>
      </c>
    </row>
    <row r="5" spans="1:12" s="19" customFormat="1" ht="15" customHeight="1">
      <c r="A5" s="19" t="s">
        <v>8</v>
      </c>
      <c r="B5" s="13"/>
      <c r="E5" s="21">
        <f>SUM(E3:E4)</f>
        <v>14680</v>
      </c>
      <c r="I5" s="21">
        <f>SUM(I3:I4)</f>
        <v>7340</v>
      </c>
      <c r="J5" s="20"/>
      <c r="K5" s="19" t="s">
        <v>81</v>
      </c>
      <c r="L5" s="13" t="s">
        <v>12</v>
      </c>
    </row>
    <row r="6" spans="1:12" ht="15" customHeight="1">
      <c r="A6" s="1" t="s">
        <v>14</v>
      </c>
      <c r="B6" s="9">
        <v>44624</v>
      </c>
      <c r="C6" s="1" t="s">
        <v>80</v>
      </c>
      <c r="D6" s="6" t="s">
        <v>138</v>
      </c>
      <c r="E6" s="5">
        <v>16800</v>
      </c>
      <c r="H6" s="1">
        <f>VLOOKUP(A6,[1]分成!A$1:C$65536,3,0)</f>
        <v>0.375</v>
      </c>
      <c r="I6" s="5">
        <f>E6*H6</f>
        <v>6300</v>
      </c>
    </row>
    <row r="7" spans="1:12" ht="15" customHeight="1">
      <c r="A7" s="1" t="s">
        <v>14</v>
      </c>
      <c r="C7" s="1" t="s">
        <v>50</v>
      </c>
      <c r="D7" s="8" t="s">
        <v>140</v>
      </c>
      <c r="E7" s="7">
        <v>3980</v>
      </c>
      <c r="H7" s="1">
        <f>VLOOKUP(A7,[1]分成!A$1:C$65536,3,0)</f>
        <v>0.375</v>
      </c>
      <c r="I7" s="7">
        <f>E7*H7</f>
        <v>1492.5</v>
      </c>
    </row>
    <row r="8" spans="1:12" ht="15" customHeight="1">
      <c r="A8" s="1" t="s">
        <v>14</v>
      </c>
      <c r="B8" s="9">
        <v>44625</v>
      </c>
      <c r="C8" s="1" t="s">
        <v>178</v>
      </c>
      <c r="D8" s="6" t="s">
        <v>174</v>
      </c>
      <c r="E8" s="5">
        <v>13800</v>
      </c>
      <c r="H8" s="1">
        <f>VLOOKUP(A8,[1]分成!A$1:C$65536,3,0)</f>
        <v>0.375</v>
      </c>
      <c r="I8" s="5">
        <f>E8*H8</f>
        <v>5175</v>
      </c>
    </row>
    <row r="9" spans="1:12" ht="15" customHeight="1">
      <c r="A9" s="1" t="s">
        <v>14</v>
      </c>
      <c r="C9" s="1" t="s">
        <v>50</v>
      </c>
      <c r="D9" s="8" t="s">
        <v>177</v>
      </c>
      <c r="E9" s="7">
        <v>1860</v>
      </c>
      <c r="H9" s="1">
        <f>VLOOKUP(A9,[1]分成!A$1:C$65536,3,0)</f>
        <v>0.375</v>
      </c>
      <c r="I9" s="7">
        <f>E9*H9</f>
        <v>697.5</v>
      </c>
    </row>
    <row r="10" spans="1:12" ht="15" customHeight="1">
      <c r="A10" s="1" t="s">
        <v>14</v>
      </c>
      <c r="B10" s="9">
        <v>44625</v>
      </c>
      <c r="C10" s="1" t="s">
        <v>44</v>
      </c>
      <c r="D10" s="6" t="s">
        <v>58</v>
      </c>
      <c r="E10" s="5">
        <v>29800</v>
      </c>
      <c r="F10" s="1">
        <v>28000</v>
      </c>
      <c r="G10" s="1">
        <v>1800</v>
      </c>
      <c r="H10" s="1">
        <f>VLOOKUP(A10,[1]分成!A$1:C$65536,3,0)</f>
        <v>0.375</v>
      </c>
      <c r="I10" s="5">
        <f>F10*H10</f>
        <v>10500</v>
      </c>
      <c r="J10" s="2">
        <f>1800*0.375</f>
        <v>675</v>
      </c>
      <c r="K10" s="28"/>
    </row>
    <row r="11" spans="1:12" ht="15" customHeight="1">
      <c r="A11" s="1" t="s">
        <v>14</v>
      </c>
      <c r="B11" s="9">
        <v>44625</v>
      </c>
      <c r="C11" s="1" t="s">
        <v>77</v>
      </c>
      <c r="D11" s="6" t="s">
        <v>58</v>
      </c>
      <c r="E11" s="5">
        <v>16800</v>
      </c>
      <c r="H11" s="1">
        <f>VLOOKUP(A11,[1]分成!A$1:C$65536,3,0)</f>
        <v>0.375</v>
      </c>
      <c r="I11" s="5">
        <f>E11*H11</f>
        <v>6300</v>
      </c>
    </row>
    <row r="12" spans="1:12" ht="15" customHeight="1">
      <c r="A12" s="1" t="s">
        <v>14</v>
      </c>
      <c r="C12" s="1" t="s">
        <v>50</v>
      </c>
      <c r="D12" s="8" t="s">
        <v>76</v>
      </c>
      <c r="E12" s="7">
        <v>3980</v>
      </c>
      <c r="H12" s="1">
        <f>VLOOKUP(A12,[1]分成!A$1:C$65536,3,0)</f>
        <v>0.375</v>
      </c>
      <c r="I12" s="7">
        <f>E12*H12</f>
        <v>1492.5</v>
      </c>
    </row>
    <row r="13" spans="1:12" ht="15" customHeight="1">
      <c r="A13" s="1" t="s">
        <v>74</v>
      </c>
      <c r="B13" s="9">
        <v>44626</v>
      </c>
      <c r="C13" s="1" t="s">
        <v>176</v>
      </c>
      <c r="D13" s="8" t="s">
        <v>75</v>
      </c>
      <c r="E13" s="7">
        <v>7740</v>
      </c>
      <c r="H13" s="1">
        <f>VLOOKUP(A13,[1]分成!A$1:C$65536,3,0)</f>
        <v>0.375</v>
      </c>
      <c r="I13" s="7">
        <f>E13*H13</f>
        <v>2902.5</v>
      </c>
    </row>
    <row r="14" spans="1:12" ht="15" customHeight="1">
      <c r="A14" s="1" t="s">
        <v>74</v>
      </c>
      <c r="B14" s="9">
        <v>44626</v>
      </c>
      <c r="C14" s="1" t="s">
        <v>73</v>
      </c>
      <c r="D14" s="6" t="s">
        <v>72</v>
      </c>
      <c r="E14" s="5">
        <v>39800</v>
      </c>
      <c r="H14" s="1">
        <f>VLOOKUP(A14,[1]分成!A$1:C$65536,3,0)</f>
        <v>0.375</v>
      </c>
      <c r="I14" s="5">
        <f>E14*H14</f>
        <v>14925</v>
      </c>
    </row>
    <row r="15" spans="1:12" ht="15" customHeight="1">
      <c r="A15" s="19" t="s">
        <v>8</v>
      </c>
      <c r="B15" s="13"/>
      <c r="C15" s="19"/>
      <c r="D15" s="19"/>
      <c r="E15" s="21">
        <f>SUM(E6:E14)-G10</f>
        <v>132760</v>
      </c>
      <c r="F15" s="19"/>
      <c r="G15" s="19"/>
      <c r="H15" s="19"/>
      <c r="I15" s="21">
        <f>SUM(I6:I14)-J10</f>
        <v>49110</v>
      </c>
      <c r="J15" s="20">
        <f>SUM(J6:J14)</f>
        <v>675</v>
      </c>
      <c r="K15" s="19" t="s">
        <v>71</v>
      </c>
      <c r="L15" s="13" t="s">
        <v>63</v>
      </c>
    </row>
    <row r="16" spans="1:12" ht="15" customHeight="1">
      <c r="A16" s="1" t="s">
        <v>70</v>
      </c>
      <c r="B16" s="9">
        <v>44627</v>
      </c>
      <c r="C16" s="1" t="s">
        <v>69</v>
      </c>
      <c r="D16" s="8" t="s">
        <v>175</v>
      </c>
      <c r="E16" s="7">
        <v>13800</v>
      </c>
      <c r="H16" s="1">
        <f>VLOOKUP(A16,[1]分成!A$1:C$65536,3,0)</f>
        <v>0.45</v>
      </c>
      <c r="I16" s="7">
        <f>E16*H16</f>
        <v>6210</v>
      </c>
    </row>
    <row r="17" spans="1:12" ht="15" customHeight="1">
      <c r="A17" s="19" t="s">
        <v>8</v>
      </c>
      <c r="B17" s="13"/>
      <c r="C17" s="19"/>
      <c r="D17" s="19"/>
      <c r="E17" s="21">
        <f>SUM(E16:E16)</f>
        <v>13800</v>
      </c>
      <c r="F17" s="19"/>
      <c r="G17" s="19"/>
      <c r="H17" s="19"/>
      <c r="I17" s="21">
        <f>SUM(I16:I16)</f>
        <v>6210</v>
      </c>
      <c r="K17" s="19" t="s">
        <v>54</v>
      </c>
      <c r="L17" s="13" t="s">
        <v>63</v>
      </c>
    </row>
    <row r="18" spans="1:12" ht="15" customHeight="1">
      <c r="A18" s="1" t="s">
        <v>14</v>
      </c>
      <c r="B18" s="9">
        <v>44629</v>
      </c>
      <c r="C18" s="1" t="s">
        <v>56</v>
      </c>
      <c r="D18" s="17" t="s">
        <v>174</v>
      </c>
      <c r="E18" s="16">
        <v>29800</v>
      </c>
      <c r="H18" s="1">
        <f>VLOOKUP(A18,[1]分成!A$1:C$65536,3,0)</f>
        <v>0.375</v>
      </c>
      <c r="I18" s="16">
        <f>E18*H18</f>
        <v>11175</v>
      </c>
    </row>
    <row r="19" spans="1:12" ht="15" customHeight="1">
      <c r="A19" s="1" t="s">
        <v>14</v>
      </c>
      <c r="C19" s="1" t="s">
        <v>50</v>
      </c>
      <c r="D19" s="27" t="s">
        <v>173</v>
      </c>
      <c r="E19" s="26">
        <v>6880</v>
      </c>
      <c r="H19" s="1">
        <f>VLOOKUP(A19,[1]分成!A$1:C$65536,3,0)</f>
        <v>0.375</v>
      </c>
      <c r="I19" s="26">
        <f>E19*H19</f>
        <v>2580</v>
      </c>
    </row>
    <row r="20" spans="1:12" ht="15" customHeight="1">
      <c r="A20" s="1" t="s">
        <v>14</v>
      </c>
      <c r="D20" s="27" t="s">
        <v>172</v>
      </c>
      <c r="E20" s="26">
        <v>3120</v>
      </c>
      <c r="H20" s="1">
        <f>VLOOKUP(A20,[1]分成!A$1:C$65536,3,0)</f>
        <v>0.375</v>
      </c>
      <c r="I20" s="26">
        <f>E20*H20</f>
        <v>1170</v>
      </c>
    </row>
    <row r="21" spans="1:12" ht="15" customHeight="1">
      <c r="A21" s="19" t="s">
        <v>8</v>
      </c>
      <c r="B21" s="13"/>
      <c r="C21" s="19"/>
      <c r="D21" s="19"/>
      <c r="E21" s="21">
        <f>SUM(E18:E20)</f>
        <v>39800</v>
      </c>
      <c r="F21" s="19"/>
      <c r="G21" s="19"/>
      <c r="H21" s="19"/>
      <c r="I21" s="21">
        <f>SUM(I18:I20)</f>
        <v>14925</v>
      </c>
      <c r="K21" s="19" t="s">
        <v>68</v>
      </c>
      <c r="L21" s="13" t="s">
        <v>12</v>
      </c>
    </row>
    <row r="22" spans="1:12" ht="15" customHeight="1">
      <c r="A22" s="1" t="s">
        <v>67</v>
      </c>
      <c r="B22" s="9">
        <v>44630</v>
      </c>
      <c r="C22" s="1" t="s">
        <v>66</v>
      </c>
      <c r="D22" s="6" t="s">
        <v>65</v>
      </c>
      <c r="E22" s="5">
        <v>2980</v>
      </c>
      <c r="H22" s="1">
        <f>VLOOKUP(A22,[1]分成!A$1:C$65536,3,0)</f>
        <v>0.5</v>
      </c>
      <c r="I22" s="5">
        <f>E22*H22</f>
        <v>1490</v>
      </c>
    </row>
    <row r="23" spans="1:12" s="19" customFormat="1" ht="15" customHeight="1">
      <c r="A23" s="19" t="s">
        <v>8</v>
      </c>
      <c r="B23" s="13"/>
      <c r="E23" s="21">
        <f>SUM(E22:E22)</f>
        <v>2980</v>
      </c>
      <c r="I23" s="21">
        <f>SUM(I22:I22)</f>
        <v>1490</v>
      </c>
      <c r="J23" s="20"/>
      <c r="K23" s="19" t="s">
        <v>64</v>
      </c>
      <c r="L23" s="13" t="s">
        <v>63</v>
      </c>
    </row>
    <row r="24" spans="1:12" ht="15" customHeight="1">
      <c r="A24" s="1" t="s">
        <v>14</v>
      </c>
      <c r="B24" s="9">
        <v>44631</v>
      </c>
      <c r="C24" s="1" t="s">
        <v>62</v>
      </c>
      <c r="D24" s="6" t="s">
        <v>58</v>
      </c>
      <c r="E24" s="5">
        <v>19800</v>
      </c>
      <c r="H24" s="1">
        <f>VLOOKUP(A24,[1]分成!A$1:C$65536,3,0)</f>
        <v>0.375</v>
      </c>
      <c r="I24" s="5">
        <f t="shared" ref="I24:I31" si="0">E24*H24</f>
        <v>7425</v>
      </c>
    </row>
    <row r="25" spans="1:12" ht="15" customHeight="1">
      <c r="A25" s="1" t="s">
        <v>14</v>
      </c>
      <c r="C25" s="1" t="s">
        <v>50</v>
      </c>
      <c r="D25" s="8" t="s">
        <v>171</v>
      </c>
      <c r="E25" s="7">
        <v>8258</v>
      </c>
      <c r="H25" s="1">
        <f>VLOOKUP(A25,[1]分成!A$1:C$65536,3,0)</f>
        <v>0.375</v>
      </c>
      <c r="I25" s="7">
        <f t="shared" si="0"/>
        <v>3096.75</v>
      </c>
    </row>
    <row r="26" spans="1:12" ht="15" customHeight="1">
      <c r="A26" s="1" t="s">
        <v>14</v>
      </c>
      <c r="D26" s="8" t="s">
        <v>29</v>
      </c>
      <c r="E26" s="7">
        <v>1742</v>
      </c>
      <c r="H26" s="1">
        <f>VLOOKUP(A26,[1]分成!A$1:C$65536,3,0)</f>
        <v>0.375</v>
      </c>
      <c r="I26" s="7">
        <f t="shared" si="0"/>
        <v>653.25</v>
      </c>
    </row>
    <row r="27" spans="1:12" ht="15" customHeight="1">
      <c r="A27" s="1" t="s">
        <v>14</v>
      </c>
      <c r="B27" s="9">
        <v>44631</v>
      </c>
      <c r="C27" s="1" t="s">
        <v>34</v>
      </c>
      <c r="D27" s="6" t="s">
        <v>170</v>
      </c>
      <c r="E27" s="5">
        <v>39800</v>
      </c>
      <c r="H27" s="1">
        <f>VLOOKUP(A27,[1]分成!A$1:C$65536,3,0)</f>
        <v>0.375</v>
      </c>
      <c r="I27" s="5">
        <f t="shared" si="0"/>
        <v>14925</v>
      </c>
    </row>
    <row r="28" spans="1:12" ht="15" customHeight="1">
      <c r="A28" s="1" t="s">
        <v>14</v>
      </c>
      <c r="C28" s="1" t="s">
        <v>50</v>
      </c>
      <c r="D28" s="8" t="s">
        <v>169</v>
      </c>
      <c r="E28" s="7">
        <v>3980</v>
      </c>
      <c r="H28" s="1">
        <f>VLOOKUP(A28,[1]分成!A$1:C$65536,3,0)</f>
        <v>0.375</v>
      </c>
      <c r="I28" s="7">
        <f t="shared" si="0"/>
        <v>1492.5</v>
      </c>
    </row>
    <row r="29" spans="1:12" ht="15" customHeight="1">
      <c r="A29" s="1" t="s">
        <v>14</v>
      </c>
      <c r="C29" s="1" t="s">
        <v>59</v>
      </c>
      <c r="D29" s="6" t="s">
        <v>58</v>
      </c>
      <c r="E29" s="5">
        <v>19800</v>
      </c>
      <c r="H29" s="1">
        <f>VLOOKUP(A29,[1]分成!A$1:C$65536,3,0)</f>
        <v>0.375</v>
      </c>
      <c r="I29" s="5">
        <f t="shared" si="0"/>
        <v>7425</v>
      </c>
    </row>
    <row r="30" spans="1:12" ht="15" customHeight="1">
      <c r="A30" s="1" t="s">
        <v>14</v>
      </c>
      <c r="C30" s="1" t="s">
        <v>50</v>
      </c>
      <c r="D30" s="8" t="s">
        <v>168</v>
      </c>
      <c r="E30" s="7">
        <v>3980</v>
      </c>
      <c r="H30" s="1">
        <f>VLOOKUP(A30,[1]分成!A$1:C$65536,3,0)</f>
        <v>0.375</v>
      </c>
      <c r="I30" s="7">
        <f t="shared" si="0"/>
        <v>1492.5</v>
      </c>
    </row>
    <row r="31" spans="1:12" ht="15" customHeight="1">
      <c r="A31" s="14" t="s">
        <v>14</v>
      </c>
      <c r="B31" s="25"/>
      <c r="C31" s="14" t="s">
        <v>56</v>
      </c>
      <c r="D31" s="14" t="s">
        <v>55</v>
      </c>
      <c r="E31" s="24">
        <v>-39800</v>
      </c>
      <c r="F31" s="14"/>
      <c r="G31" s="14"/>
      <c r="H31" s="14">
        <f>VLOOKUP(A31,[1]分成!A$1:C$65536,3,0)</f>
        <v>0.375</v>
      </c>
      <c r="I31" s="24">
        <f t="shared" si="0"/>
        <v>-14925</v>
      </c>
    </row>
    <row r="32" spans="1:12" s="19" customFormat="1" ht="15" customHeight="1">
      <c r="A32" s="19" t="s">
        <v>8</v>
      </c>
      <c r="B32" s="13"/>
      <c r="E32" s="21">
        <f>SUM(E24:E31)</f>
        <v>57560</v>
      </c>
      <c r="I32" s="21">
        <f>SUM(I24:I31)</f>
        <v>21585</v>
      </c>
      <c r="J32" s="20"/>
      <c r="K32" s="19" t="s">
        <v>54</v>
      </c>
      <c r="L32" s="13" t="s">
        <v>12</v>
      </c>
    </row>
    <row r="33" spans="1:12" ht="15" customHeight="1">
      <c r="A33" s="1" t="s">
        <v>11</v>
      </c>
      <c r="B33" s="9">
        <v>44632</v>
      </c>
      <c r="C33" s="1" t="s">
        <v>53</v>
      </c>
      <c r="D33" s="6" t="s">
        <v>167</v>
      </c>
      <c r="E33" s="5">
        <v>6900</v>
      </c>
      <c r="H33" s="1">
        <f>VLOOKUP(A33,[1]分成!A$1:C$65536,3,0)</f>
        <v>0.375</v>
      </c>
      <c r="I33" s="5">
        <f>E33*H33</f>
        <v>2587.5</v>
      </c>
    </row>
    <row r="34" spans="1:12" ht="15" customHeight="1">
      <c r="A34" s="1" t="s">
        <v>11</v>
      </c>
      <c r="C34" s="1" t="s">
        <v>50</v>
      </c>
      <c r="D34" s="8" t="s">
        <v>51</v>
      </c>
      <c r="E34" s="7">
        <v>3980</v>
      </c>
      <c r="H34" s="1">
        <f>VLOOKUP(A34,[1]分成!A$1:C$65536,3,0)</f>
        <v>0.375</v>
      </c>
      <c r="I34" s="7">
        <f>E34*H34</f>
        <v>1492.5</v>
      </c>
    </row>
    <row r="35" spans="1:12" ht="15" customHeight="1">
      <c r="A35" s="1" t="s">
        <v>11</v>
      </c>
      <c r="C35" s="1" t="s">
        <v>50</v>
      </c>
      <c r="D35" s="8" t="s">
        <v>166</v>
      </c>
      <c r="E35" s="7">
        <v>880</v>
      </c>
      <c r="H35" s="1">
        <f>VLOOKUP(A35,[1]分成!A$1:C$65536,3,0)</f>
        <v>0.375</v>
      </c>
      <c r="I35" s="7">
        <f>E35*H35</f>
        <v>330</v>
      </c>
    </row>
    <row r="36" spans="1:12" ht="15" customHeight="1">
      <c r="A36" s="1" t="s">
        <v>11</v>
      </c>
      <c r="C36" s="1" t="s">
        <v>48</v>
      </c>
      <c r="D36" s="6" t="s">
        <v>165</v>
      </c>
      <c r="E36" s="5">
        <v>16900</v>
      </c>
      <c r="H36" s="1">
        <f>VLOOKUP(A36,[1]分成!A$1:C$65536,3,0)</f>
        <v>0.375</v>
      </c>
      <c r="I36" s="5">
        <f>E36*H36</f>
        <v>6337.5</v>
      </c>
    </row>
    <row r="37" spans="1:12" ht="15" customHeight="1">
      <c r="A37" s="1" t="s">
        <v>11</v>
      </c>
      <c r="D37" s="6" t="s">
        <v>164</v>
      </c>
      <c r="E37" s="5">
        <v>4880</v>
      </c>
      <c r="H37" s="1">
        <f>VLOOKUP(A37,[1]分成!A$1:C$65536,3,0)</f>
        <v>0.375</v>
      </c>
      <c r="I37" s="5">
        <f>E37*H37</f>
        <v>1830</v>
      </c>
    </row>
    <row r="38" spans="1:12" s="19" customFormat="1" ht="15" customHeight="1">
      <c r="A38" s="19" t="s">
        <v>8</v>
      </c>
      <c r="B38" s="13"/>
      <c r="E38" s="21">
        <f>SUM(E33:E37)</f>
        <v>33540</v>
      </c>
      <c r="I38" s="21">
        <f>SUM(I33:I37)</f>
        <v>12577.5</v>
      </c>
      <c r="J38" s="20"/>
      <c r="K38" s="19" t="s">
        <v>37</v>
      </c>
      <c r="L38" s="13"/>
    </row>
    <row r="39" spans="1:12" ht="15" customHeight="1">
      <c r="A39" s="1" t="s">
        <v>14</v>
      </c>
      <c r="B39" s="9">
        <v>44633</v>
      </c>
      <c r="C39" s="1" t="s">
        <v>181</v>
      </c>
      <c r="D39" s="6" t="s">
        <v>182</v>
      </c>
      <c r="E39" s="5">
        <v>9900</v>
      </c>
      <c r="H39" s="1">
        <f>VLOOKUP(A39,[1]分成!A$1:C$65536,3,0)</f>
        <v>0.375</v>
      </c>
      <c r="I39" s="5">
        <f>E39*H39</f>
        <v>3712.5</v>
      </c>
      <c r="K39" s="1" t="s">
        <v>45</v>
      </c>
    </row>
    <row r="40" spans="1:12" ht="15" customHeight="1">
      <c r="A40" s="1" t="s">
        <v>14</v>
      </c>
      <c r="C40" s="6" t="s">
        <v>183</v>
      </c>
      <c r="D40" s="6" t="s">
        <v>43</v>
      </c>
      <c r="E40" s="5">
        <v>0</v>
      </c>
      <c r="F40" s="1">
        <f>G10</f>
        <v>1800</v>
      </c>
      <c r="G40" s="1">
        <f>-F40</f>
        <v>-1800</v>
      </c>
      <c r="H40" s="1">
        <f>VLOOKUP(A40,[1]分成!A$1:C$65536,3,0)</f>
        <v>0.375</v>
      </c>
      <c r="I40" s="5">
        <f>F40*H40</f>
        <v>675</v>
      </c>
      <c r="J40" s="23">
        <f>G40*H40</f>
        <v>-675</v>
      </c>
      <c r="K40" s="1" t="s">
        <v>42</v>
      </c>
    </row>
    <row r="41" spans="1:12" ht="15" customHeight="1">
      <c r="A41" s="1" t="s">
        <v>14</v>
      </c>
      <c r="C41" s="1" t="s">
        <v>186</v>
      </c>
      <c r="D41" s="6" t="s">
        <v>187</v>
      </c>
      <c r="E41" s="5">
        <v>19800</v>
      </c>
      <c r="H41" s="1">
        <f>VLOOKUP(A41,[1]分成!A$1:C$65536,3,0)</f>
        <v>0.375</v>
      </c>
      <c r="I41" s="5">
        <f>E41*H41</f>
        <v>7425</v>
      </c>
    </row>
    <row r="42" spans="1:12" ht="15" customHeight="1">
      <c r="A42" s="1" t="s">
        <v>14</v>
      </c>
      <c r="C42" s="1" t="s">
        <v>188</v>
      </c>
      <c r="D42" s="6" t="s">
        <v>182</v>
      </c>
      <c r="E42" s="5">
        <v>6900</v>
      </c>
      <c r="H42" s="1">
        <f>VLOOKUP(A42,[1]分成!A$1:C$65536,3,0)</f>
        <v>0.375</v>
      </c>
      <c r="I42" s="5">
        <f>E42*H42</f>
        <v>2587.5</v>
      </c>
    </row>
    <row r="43" spans="1:12" ht="15" customHeight="1">
      <c r="A43" s="1" t="s">
        <v>14</v>
      </c>
      <c r="D43" s="8" t="s">
        <v>38</v>
      </c>
      <c r="E43" s="7">
        <v>428</v>
      </c>
      <c r="H43" s="1">
        <f>VLOOKUP(A43,[1]分成!A$1:C$65536,3,0)</f>
        <v>0.375</v>
      </c>
      <c r="I43" s="7">
        <f>E43*H43</f>
        <v>160.5</v>
      </c>
    </row>
    <row r="44" spans="1:12" s="19" customFormat="1" ht="15" customHeight="1">
      <c r="A44" s="19" t="s">
        <v>8</v>
      </c>
      <c r="B44" s="13"/>
      <c r="E44" s="21">
        <f>SUM(E39:E43)</f>
        <v>37028</v>
      </c>
      <c r="I44" s="21">
        <f>SUM(I39:I43)</f>
        <v>14560.5</v>
      </c>
      <c r="J44" s="20"/>
      <c r="K44" s="19" t="s">
        <v>37</v>
      </c>
      <c r="L44" s="13" t="s">
        <v>12</v>
      </c>
    </row>
    <row r="45" spans="1:12" ht="15" customHeight="1">
      <c r="A45" s="1" t="s">
        <v>22</v>
      </c>
      <c r="B45" s="9">
        <v>44637</v>
      </c>
      <c r="C45" s="1" t="s">
        <v>190</v>
      </c>
      <c r="D45" s="8" t="s">
        <v>191</v>
      </c>
      <c r="E45" s="7">
        <v>3980</v>
      </c>
      <c r="H45" s="1">
        <f>VLOOKUP(A45,[1]分成!A$1:C$65536,3,0)</f>
        <v>0.5</v>
      </c>
      <c r="I45" s="7">
        <f>E45*H45</f>
        <v>1990</v>
      </c>
    </row>
    <row r="46" spans="1:12" s="19" customFormat="1" ht="15" customHeight="1">
      <c r="A46" s="19" t="s">
        <v>8</v>
      </c>
      <c r="B46" s="13"/>
      <c r="E46" s="21">
        <f>SUM(E45:E45)</f>
        <v>3980</v>
      </c>
      <c r="I46" s="21">
        <f>SUM(I45:I45)</f>
        <v>1990</v>
      </c>
      <c r="J46" s="20"/>
      <c r="K46" s="19" t="s">
        <v>35</v>
      </c>
      <c r="L46" s="13" t="s">
        <v>12</v>
      </c>
    </row>
    <row r="47" spans="1:12" ht="15" customHeight="1">
      <c r="A47" s="1" t="s">
        <v>193</v>
      </c>
      <c r="B47" s="9">
        <v>44643</v>
      </c>
      <c r="C47" s="1" t="s">
        <v>194</v>
      </c>
      <c r="D47" s="8" t="s">
        <v>195</v>
      </c>
      <c r="E47" s="7">
        <v>4400</v>
      </c>
      <c r="H47" s="1">
        <f>VLOOKUP(A47,[1]分成!A$1:C$65536,3,0)</f>
        <v>0.375</v>
      </c>
      <c r="I47" s="7">
        <f t="shared" ref="I47:I54" si="1">E47*H47</f>
        <v>1650</v>
      </c>
    </row>
    <row r="48" spans="1:12" ht="15" customHeight="1">
      <c r="A48" s="1" t="s">
        <v>14</v>
      </c>
      <c r="D48" s="8" t="s">
        <v>196</v>
      </c>
      <c r="E48" s="7">
        <v>3400</v>
      </c>
      <c r="H48" s="1">
        <f>VLOOKUP(A48,[1]分成!A$1:C$65536,3,0)</f>
        <v>0.375</v>
      </c>
      <c r="I48" s="7">
        <f t="shared" si="1"/>
        <v>1275</v>
      </c>
      <c r="K48" s="1" t="s">
        <v>31</v>
      </c>
    </row>
    <row r="49" spans="1:12" ht="15" customHeight="1">
      <c r="A49" s="1" t="s">
        <v>14</v>
      </c>
      <c r="D49" s="8" t="s">
        <v>197</v>
      </c>
      <c r="E49" s="7">
        <v>1380</v>
      </c>
      <c r="H49" s="1">
        <f>VLOOKUP(A49,[1]分成!A$1:C$65536,3,0)</f>
        <v>0.375</v>
      </c>
      <c r="I49" s="7">
        <f t="shared" si="1"/>
        <v>517.5</v>
      </c>
    </row>
    <row r="50" spans="1:12" ht="15" customHeight="1">
      <c r="A50" s="1" t="s">
        <v>14</v>
      </c>
      <c r="D50" s="8" t="s">
        <v>198</v>
      </c>
      <c r="E50" s="7">
        <v>820</v>
      </c>
      <c r="H50" s="1">
        <f>VLOOKUP(A50,[1]分成!A$1:C$65536,3,0)</f>
        <v>0.375</v>
      </c>
      <c r="I50" s="7">
        <f t="shared" si="1"/>
        <v>307.5</v>
      </c>
    </row>
    <row r="51" spans="1:12" ht="15" customHeight="1">
      <c r="A51" s="1" t="s">
        <v>14</v>
      </c>
      <c r="C51" s="1" t="s">
        <v>199</v>
      </c>
      <c r="D51" s="8" t="s">
        <v>200</v>
      </c>
      <c r="E51" s="7">
        <v>880</v>
      </c>
      <c r="H51" s="1">
        <f>VLOOKUP(A51,[1]分成!A$1:C$65536,3,0)</f>
        <v>0.375</v>
      </c>
      <c r="I51" s="7">
        <f t="shared" si="1"/>
        <v>330</v>
      </c>
    </row>
    <row r="52" spans="1:12" ht="15" customHeight="1">
      <c r="A52" s="1" t="s">
        <v>14</v>
      </c>
      <c r="D52" s="8" t="s">
        <v>201</v>
      </c>
      <c r="E52" s="7">
        <v>1360</v>
      </c>
      <c r="H52" s="1">
        <f>VLOOKUP(A52,[1]分成!A$1:C$65536,3,0)</f>
        <v>0.375</v>
      </c>
      <c r="I52" s="7">
        <f t="shared" si="1"/>
        <v>510</v>
      </c>
    </row>
    <row r="53" spans="1:12" ht="15" customHeight="1">
      <c r="A53" s="1" t="s">
        <v>14</v>
      </c>
      <c r="D53" s="8" t="s">
        <v>202</v>
      </c>
      <c r="E53" s="7">
        <v>1380</v>
      </c>
      <c r="H53" s="1">
        <f>VLOOKUP(A53,[1]分成!A$1:C$65536,3,0)</f>
        <v>0.375</v>
      </c>
      <c r="I53" s="7">
        <f t="shared" si="1"/>
        <v>517.5</v>
      </c>
    </row>
    <row r="54" spans="1:12" ht="15" customHeight="1">
      <c r="A54" s="1" t="s">
        <v>14</v>
      </c>
      <c r="C54" s="1" t="s">
        <v>205</v>
      </c>
      <c r="D54" s="8" t="s">
        <v>203</v>
      </c>
      <c r="E54" s="7">
        <v>1750</v>
      </c>
      <c r="H54" s="1">
        <f>VLOOKUP(A54,[1]分成!A$1:C$65536,3,0)</f>
        <v>0.375</v>
      </c>
      <c r="I54" s="7">
        <f t="shared" si="1"/>
        <v>656.25</v>
      </c>
    </row>
    <row r="55" spans="1:12" s="19" customFormat="1" ht="15" customHeight="1">
      <c r="A55" s="19" t="s">
        <v>8</v>
      </c>
      <c r="B55" s="22"/>
      <c r="E55" s="21">
        <f>SUM(E47:E54)</f>
        <v>15370</v>
      </c>
      <c r="I55" s="21">
        <f>SUM(I47:I54)</f>
        <v>5763.75</v>
      </c>
      <c r="J55" s="20"/>
      <c r="K55" s="19" t="s">
        <v>23</v>
      </c>
      <c r="L55" s="13" t="s">
        <v>12</v>
      </c>
    </row>
    <row r="56" spans="1:12" ht="15" customHeight="1">
      <c r="A56" s="1" t="s">
        <v>22</v>
      </c>
      <c r="B56" s="9">
        <v>44644</v>
      </c>
      <c r="C56" s="1" t="s">
        <v>206</v>
      </c>
      <c r="D56" s="6" t="s">
        <v>207</v>
      </c>
      <c r="E56" s="5">
        <v>6900</v>
      </c>
      <c r="F56" s="1">
        <v>4000</v>
      </c>
      <c r="G56" s="1">
        <v>2900</v>
      </c>
      <c r="H56" s="1">
        <f>VLOOKUP(A56,[1]分成!A$1:C$65536,3,0)</f>
        <v>0.5</v>
      </c>
      <c r="I56" s="5">
        <f>F56*H56</f>
        <v>2000</v>
      </c>
      <c r="J56" s="2">
        <f>G56*H56</f>
        <v>1450</v>
      </c>
      <c r="K56" s="1" t="s">
        <v>19</v>
      </c>
    </row>
    <row r="57" spans="1:12" s="19" customFormat="1" ht="15" customHeight="1">
      <c r="A57" s="19" t="s">
        <v>8</v>
      </c>
      <c r="B57" s="13"/>
      <c r="E57" s="21">
        <f>SUM(E56:E56)</f>
        <v>6900</v>
      </c>
      <c r="I57" s="21">
        <f>SUM(I56:I56)</f>
        <v>2000</v>
      </c>
      <c r="J57" s="20"/>
      <c r="K57" s="19" t="s">
        <v>18</v>
      </c>
      <c r="L57" s="13" t="s">
        <v>12</v>
      </c>
    </row>
    <row r="58" spans="1:12" ht="15" customHeight="1">
      <c r="A58" s="1" t="s">
        <v>193</v>
      </c>
      <c r="B58" s="9">
        <v>44646</v>
      </c>
      <c r="C58" s="1" t="s">
        <v>186</v>
      </c>
      <c r="D58" s="8" t="s">
        <v>209</v>
      </c>
      <c r="E58" s="7">
        <v>2653</v>
      </c>
      <c r="H58" s="1">
        <f>VLOOKUP(A58,[1]分成!A$1:C$65536,3,0)</f>
        <v>0.375</v>
      </c>
      <c r="I58" s="7">
        <f>E58*H58</f>
        <v>994.875</v>
      </c>
    </row>
    <row r="59" spans="1:12" ht="15" customHeight="1">
      <c r="A59" s="1" t="s">
        <v>14</v>
      </c>
      <c r="C59" s="1" t="s">
        <v>208</v>
      </c>
      <c r="D59" s="6" t="s">
        <v>211</v>
      </c>
      <c r="E59" s="5">
        <v>19800</v>
      </c>
      <c r="H59" s="1">
        <f>VLOOKUP(A59,[1]分成!A$1:C$65536,3,0)</f>
        <v>0.375</v>
      </c>
      <c r="I59" s="5">
        <f>E59*H59</f>
        <v>7425</v>
      </c>
    </row>
    <row r="60" spans="1:12" ht="15" customHeight="1">
      <c r="A60" s="1" t="s">
        <v>14</v>
      </c>
      <c r="D60" s="8" t="s">
        <v>212</v>
      </c>
      <c r="E60" s="7">
        <v>880</v>
      </c>
      <c r="H60" s="1">
        <f>VLOOKUP(A60,[1]分成!A$1:C$65536,3,0)</f>
        <v>0.375</v>
      </c>
      <c r="I60" s="7">
        <f>E60*H60</f>
        <v>330</v>
      </c>
    </row>
    <row r="61" spans="1:12" s="19" customFormat="1" ht="15" customHeight="1">
      <c r="A61" s="19" t="s">
        <v>8</v>
      </c>
      <c r="B61" s="22"/>
      <c r="E61" s="21">
        <f>SUM(E58:E60)</f>
        <v>23333</v>
      </c>
      <c r="I61" s="21">
        <f>SUM(I58:I60)</f>
        <v>8749.875</v>
      </c>
      <c r="J61" s="20"/>
      <c r="K61" s="19" t="s">
        <v>13</v>
      </c>
      <c r="L61" s="13" t="s">
        <v>12</v>
      </c>
    </row>
    <row r="62" spans="1:12" s="14" customFormat="1" ht="15" customHeight="1">
      <c r="A62" s="14" t="s">
        <v>11</v>
      </c>
      <c r="B62" s="18">
        <v>44649</v>
      </c>
      <c r="C62" s="14" t="s">
        <v>213</v>
      </c>
      <c r="D62" s="17" t="s">
        <v>214</v>
      </c>
      <c r="E62" s="16">
        <v>-57000</v>
      </c>
      <c r="H62" s="14">
        <f>VLOOKUP(A62,[1]分成!A$1:C$65536,3,0)</f>
        <v>0.375</v>
      </c>
      <c r="I62" s="16">
        <f>E62*H62</f>
        <v>-21375</v>
      </c>
      <c r="J62" s="15"/>
    </row>
    <row r="63" spans="1:12" s="10" customFormat="1" ht="15" customHeight="1">
      <c r="A63" s="10" t="s">
        <v>8</v>
      </c>
      <c r="B63" s="13"/>
      <c r="E63" s="12">
        <f>SUM(E62:E62)</f>
        <v>-57000</v>
      </c>
      <c r="I63" s="12">
        <f>SUM(I62:I62)</f>
        <v>-21375</v>
      </c>
      <c r="J63" s="11"/>
      <c r="K63" s="10" t="s">
        <v>7</v>
      </c>
    </row>
    <row r="64" spans="1:12" ht="15" customHeight="1">
      <c r="A64" s="1" t="s">
        <v>6</v>
      </c>
      <c r="B64" s="9">
        <v>44651</v>
      </c>
      <c r="C64" s="1" t="s">
        <v>5</v>
      </c>
      <c r="D64" s="8" t="s">
        <v>4</v>
      </c>
      <c r="E64" s="7">
        <v>6880</v>
      </c>
      <c r="F64" s="1">
        <v>4880</v>
      </c>
      <c r="G64" s="1">
        <v>2000</v>
      </c>
      <c r="H64" s="1">
        <v>0.5</v>
      </c>
      <c r="I64" s="7">
        <f>F64*H64</f>
        <v>2440</v>
      </c>
      <c r="J64" s="2">
        <v>1000</v>
      </c>
    </row>
    <row r="65" spans="1:11" ht="15" customHeight="1">
      <c r="C65" s="1" t="s">
        <v>3</v>
      </c>
      <c r="D65" s="6" t="s">
        <v>2</v>
      </c>
      <c r="E65" s="5">
        <v>2380</v>
      </c>
      <c r="H65" s="1">
        <v>0.5</v>
      </c>
      <c r="I65" s="5">
        <f>E65*H65</f>
        <v>1190</v>
      </c>
    </row>
    <row r="66" spans="1:11" ht="15" customHeight="1">
      <c r="A66" s="1" t="s">
        <v>1</v>
      </c>
      <c r="E66" s="3">
        <f>E64+E65</f>
        <v>9260</v>
      </c>
      <c r="I66" s="3">
        <f>I64+I65</f>
        <v>3630</v>
      </c>
      <c r="K66" s="1" t="s">
        <v>0</v>
      </c>
    </row>
  </sheetData>
  <autoFilter ref="A2:L63" xr:uid="{CA3DDCE6-5894-402C-9F5F-58C4FB7F7E3B}"/>
  <phoneticPr fontId="3" type="noConversion"/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5"/>
  <sheetViews>
    <sheetView tabSelected="1" zoomScale="85" zoomScaleNormal="85" workbookViewId="0">
      <pane ySplit="2" topLeftCell="A288" activePane="bottomLeft" state="frozen"/>
      <selection activeCell="I1" sqref="I1"/>
      <selection pane="bottomLeft" activeCell="G309" sqref="G309"/>
    </sheetView>
  </sheetViews>
  <sheetFormatPr defaultColWidth="10" defaultRowHeight="15.6"/>
  <cols>
    <col min="1" max="1" width="10" style="36"/>
    <col min="2" max="2" width="12.109375" style="38" customWidth="1"/>
    <col min="3" max="3" width="19.44140625" style="36" customWidth="1"/>
    <col min="4" max="4" width="13.109375" style="36" customWidth="1"/>
    <col min="5" max="5" width="11.33203125" style="36" customWidth="1"/>
    <col min="6" max="6" width="12.88671875" style="36" customWidth="1"/>
    <col min="7" max="7" width="53.77734375" style="36" customWidth="1"/>
    <col min="8" max="8" width="12" style="36" customWidth="1"/>
    <col min="9" max="9" width="11.21875" style="36" customWidth="1"/>
    <col min="10" max="10" width="10.77734375" style="36" customWidth="1"/>
    <col min="11" max="11" width="11.6640625" style="37" customWidth="1"/>
    <col min="12" max="12" width="11.88671875" style="36" customWidth="1"/>
    <col min="13" max="13" width="16" style="36" customWidth="1"/>
    <col min="14" max="14" width="13.109375" style="38" customWidth="1"/>
    <col min="15" max="18" width="11.33203125" style="36" customWidth="1"/>
    <col min="19" max="19" width="17.5546875" style="36" customWidth="1"/>
    <col min="20" max="259" width="10" style="35"/>
    <col min="260" max="260" width="12.109375" style="35" customWidth="1"/>
    <col min="261" max="261" width="10" style="35"/>
    <col min="262" max="263" width="11.33203125" style="35" customWidth="1"/>
    <col min="264" max="264" width="24.6640625" style="35" customWidth="1"/>
    <col min="265" max="265" width="12" style="35" customWidth="1"/>
    <col min="266" max="267" width="10" style="35"/>
    <col min="268" max="268" width="11.6640625" style="35" customWidth="1"/>
    <col min="269" max="269" width="11.88671875" style="35" customWidth="1"/>
    <col min="270" max="270" width="16" style="35" customWidth="1"/>
    <col min="271" max="271" width="13.109375" style="35" customWidth="1"/>
    <col min="272" max="273" width="11.33203125" style="35" customWidth="1"/>
    <col min="274" max="274" width="13.88671875" style="35" customWidth="1"/>
    <col min="275" max="515" width="10" style="35"/>
    <col min="516" max="516" width="12.109375" style="35" customWidth="1"/>
    <col min="517" max="517" width="10" style="35"/>
    <col min="518" max="519" width="11.33203125" style="35" customWidth="1"/>
    <col min="520" max="520" width="24.6640625" style="35" customWidth="1"/>
    <col min="521" max="521" width="12" style="35" customWidth="1"/>
    <col min="522" max="523" width="10" style="35"/>
    <col min="524" max="524" width="11.6640625" style="35" customWidth="1"/>
    <col min="525" max="525" width="11.88671875" style="35" customWidth="1"/>
    <col min="526" max="526" width="16" style="35" customWidth="1"/>
    <col min="527" max="527" width="13.109375" style="35" customWidth="1"/>
    <col min="528" max="529" width="11.33203125" style="35" customWidth="1"/>
    <col min="530" max="530" width="13.88671875" style="35" customWidth="1"/>
    <col min="531" max="771" width="10" style="35"/>
    <col min="772" max="772" width="12.109375" style="35" customWidth="1"/>
    <col min="773" max="773" width="10" style="35"/>
    <col min="774" max="775" width="11.33203125" style="35" customWidth="1"/>
    <col min="776" max="776" width="24.6640625" style="35" customWidth="1"/>
    <col min="777" max="777" width="12" style="35" customWidth="1"/>
    <col min="778" max="779" width="10" style="35"/>
    <col min="780" max="780" width="11.6640625" style="35" customWidth="1"/>
    <col min="781" max="781" width="11.88671875" style="35" customWidth="1"/>
    <col min="782" max="782" width="16" style="35" customWidth="1"/>
    <col min="783" max="783" width="13.109375" style="35" customWidth="1"/>
    <col min="784" max="785" width="11.33203125" style="35" customWidth="1"/>
    <col min="786" max="786" width="13.88671875" style="35" customWidth="1"/>
    <col min="787" max="1027" width="10" style="35"/>
    <col min="1028" max="1028" width="12.109375" style="35" customWidth="1"/>
    <col min="1029" max="1029" width="10" style="35"/>
    <col min="1030" max="1031" width="11.33203125" style="35" customWidth="1"/>
    <col min="1032" max="1032" width="24.6640625" style="35" customWidth="1"/>
    <col min="1033" max="1033" width="12" style="35" customWidth="1"/>
    <col min="1034" max="1035" width="10" style="35"/>
    <col min="1036" max="1036" width="11.6640625" style="35" customWidth="1"/>
    <col min="1037" max="1037" width="11.88671875" style="35" customWidth="1"/>
    <col min="1038" max="1038" width="16" style="35" customWidth="1"/>
    <col min="1039" max="1039" width="13.109375" style="35" customWidth="1"/>
    <col min="1040" max="1041" width="11.33203125" style="35" customWidth="1"/>
    <col min="1042" max="1042" width="13.88671875" style="35" customWidth="1"/>
    <col min="1043" max="1283" width="10" style="35"/>
    <col min="1284" max="1284" width="12.109375" style="35" customWidth="1"/>
    <col min="1285" max="1285" width="10" style="35"/>
    <col min="1286" max="1287" width="11.33203125" style="35" customWidth="1"/>
    <col min="1288" max="1288" width="24.6640625" style="35" customWidth="1"/>
    <col min="1289" max="1289" width="12" style="35" customWidth="1"/>
    <col min="1290" max="1291" width="10" style="35"/>
    <col min="1292" max="1292" width="11.6640625" style="35" customWidth="1"/>
    <col min="1293" max="1293" width="11.88671875" style="35" customWidth="1"/>
    <col min="1294" max="1294" width="16" style="35" customWidth="1"/>
    <col min="1295" max="1295" width="13.109375" style="35" customWidth="1"/>
    <col min="1296" max="1297" width="11.33203125" style="35" customWidth="1"/>
    <col min="1298" max="1298" width="13.88671875" style="35" customWidth="1"/>
    <col min="1299" max="1539" width="10" style="35"/>
    <col min="1540" max="1540" width="12.109375" style="35" customWidth="1"/>
    <col min="1541" max="1541" width="10" style="35"/>
    <col min="1542" max="1543" width="11.33203125" style="35" customWidth="1"/>
    <col min="1544" max="1544" width="24.6640625" style="35" customWidth="1"/>
    <col min="1545" max="1545" width="12" style="35" customWidth="1"/>
    <col min="1546" max="1547" width="10" style="35"/>
    <col min="1548" max="1548" width="11.6640625" style="35" customWidth="1"/>
    <col min="1549" max="1549" width="11.88671875" style="35" customWidth="1"/>
    <col min="1550" max="1550" width="16" style="35" customWidth="1"/>
    <col min="1551" max="1551" width="13.109375" style="35" customWidth="1"/>
    <col min="1552" max="1553" width="11.33203125" style="35" customWidth="1"/>
    <col min="1554" max="1554" width="13.88671875" style="35" customWidth="1"/>
    <col min="1555" max="1795" width="10" style="35"/>
    <col min="1796" max="1796" width="12.109375" style="35" customWidth="1"/>
    <col min="1797" max="1797" width="10" style="35"/>
    <col min="1798" max="1799" width="11.33203125" style="35" customWidth="1"/>
    <col min="1800" max="1800" width="24.6640625" style="35" customWidth="1"/>
    <col min="1801" max="1801" width="12" style="35" customWidth="1"/>
    <col min="1802" max="1803" width="10" style="35"/>
    <col min="1804" max="1804" width="11.6640625" style="35" customWidth="1"/>
    <col min="1805" max="1805" width="11.88671875" style="35" customWidth="1"/>
    <col min="1806" max="1806" width="16" style="35" customWidth="1"/>
    <col min="1807" max="1807" width="13.109375" style="35" customWidth="1"/>
    <col min="1808" max="1809" width="11.33203125" style="35" customWidth="1"/>
    <col min="1810" max="1810" width="13.88671875" style="35" customWidth="1"/>
    <col min="1811" max="2051" width="10" style="35"/>
    <col min="2052" max="2052" width="12.109375" style="35" customWidth="1"/>
    <col min="2053" max="2053" width="10" style="35"/>
    <col min="2054" max="2055" width="11.33203125" style="35" customWidth="1"/>
    <col min="2056" max="2056" width="24.6640625" style="35" customWidth="1"/>
    <col min="2057" max="2057" width="12" style="35" customWidth="1"/>
    <col min="2058" max="2059" width="10" style="35"/>
    <col min="2060" max="2060" width="11.6640625" style="35" customWidth="1"/>
    <col min="2061" max="2061" width="11.88671875" style="35" customWidth="1"/>
    <col min="2062" max="2062" width="16" style="35" customWidth="1"/>
    <col min="2063" max="2063" width="13.109375" style="35" customWidth="1"/>
    <col min="2064" max="2065" width="11.33203125" style="35" customWidth="1"/>
    <col min="2066" max="2066" width="13.88671875" style="35" customWidth="1"/>
    <col min="2067" max="2307" width="10" style="35"/>
    <col min="2308" max="2308" width="12.109375" style="35" customWidth="1"/>
    <col min="2309" max="2309" width="10" style="35"/>
    <col min="2310" max="2311" width="11.33203125" style="35" customWidth="1"/>
    <col min="2312" max="2312" width="24.6640625" style="35" customWidth="1"/>
    <col min="2313" max="2313" width="12" style="35" customWidth="1"/>
    <col min="2314" max="2315" width="10" style="35"/>
    <col min="2316" max="2316" width="11.6640625" style="35" customWidth="1"/>
    <col min="2317" max="2317" width="11.88671875" style="35" customWidth="1"/>
    <col min="2318" max="2318" width="16" style="35" customWidth="1"/>
    <col min="2319" max="2319" width="13.109375" style="35" customWidth="1"/>
    <col min="2320" max="2321" width="11.33203125" style="35" customWidth="1"/>
    <col min="2322" max="2322" width="13.88671875" style="35" customWidth="1"/>
    <col min="2323" max="2563" width="10" style="35"/>
    <col min="2564" max="2564" width="12.109375" style="35" customWidth="1"/>
    <col min="2565" max="2565" width="10" style="35"/>
    <col min="2566" max="2567" width="11.33203125" style="35" customWidth="1"/>
    <col min="2568" max="2568" width="24.6640625" style="35" customWidth="1"/>
    <col min="2569" max="2569" width="12" style="35" customWidth="1"/>
    <col min="2570" max="2571" width="10" style="35"/>
    <col min="2572" max="2572" width="11.6640625" style="35" customWidth="1"/>
    <col min="2573" max="2573" width="11.88671875" style="35" customWidth="1"/>
    <col min="2574" max="2574" width="16" style="35" customWidth="1"/>
    <col min="2575" max="2575" width="13.109375" style="35" customWidth="1"/>
    <col min="2576" max="2577" width="11.33203125" style="35" customWidth="1"/>
    <col min="2578" max="2578" width="13.88671875" style="35" customWidth="1"/>
    <col min="2579" max="2819" width="10" style="35"/>
    <col min="2820" max="2820" width="12.109375" style="35" customWidth="1"/>
    <col min="2821" max="2821" width="10" style="35"/>
    <col min="2822" max="2823" width="11.33203125" style="35" customWidth="1"/>
    <col min="2824" max="2824" width="24.6640625" style="35" customWidth="1"/>
    <col min="2825" max="2825" width="12" style="35" customWidth="1"/>
    <col min="2826" max="2827" width="10" style="35"/>
    <col min="2828" max="2828" width="11.6640625" style="35" customWidth="1"/>
    <col min="2829" max="2829" width="11.88671875" style="35" customWidth="1"/>
    <col min="2830" max="2830" width="16" style="35" customWidth="1"/>
    <col min="2831" max="2831" width="13.109375" style="35" customWidth="1"/>
    <col min="2832" max="2833" width="11.33203125" style="35" customWidth="1"/>
    <col min="2834" max="2834" width="13.88671875" style="35" customWidth="1"/>
    <col min="2835" max="3075" width="10" style="35"/>
    <col min="3076" max="3076" width="12.109375" style="35" customWidth="1"/>
    <col min="3077" max="3077" width="10" style="35"/>
    <col min="3078" max="3079" width="11.33203125" style="35" customWidth="1"/>
    <col min="3080" max="3080" width="24.6640625" style="35" customWidth="1"/>
    <col min="3081" max="3081" width="12" style="35" customWidth="1"/>
    <col min="3082" max="3083" width="10" style="35"/>
    <col min="3084" max="3084" width="11.6640625" style="35" customWidth="1"/>
    <col min="3085" max="3085" width="11.88671875" style="35" customWidth="1"/>
    <col min="3086" max="3086" width="16" style="35" customWidth="1"/>
    <col min="3087" max="3087" width="13.109375" style="35" customWidth="1"/>
    <col min="3088" max="3089" width="11.33203125" style="35" customWidth="1"/>
    <col min="3090" max="3090" width="13.88671875" style="35" customWidth="1"/>
    <col min="3091" max="3331" width="10" style="35"/>
    <col min="3332" max="3332" width="12.109375" style="35" customWidth="1"/>
    <col min="3333" max="3333" width="10" style="35"/>
    <col min="3334" max="3335" width="11.33203125" style="35" customWidth="1"/>
    <col min="3336" max="3336" width="24.6640625" style="35" customWidth="1"/>
    <col min="3337" max="3337" width="12" style="35" customWidth="1"/>
    <col min="3338" max="3339" width="10" style="35"/>
    <col min="3340" max="3340" width="11.6640625" style="35" customWidth="1"/>
    <col min="3341" max="3341" width="11.88671875" style="35" customWidth="1"/>
    <col min="3342" max="3342" width="16" style="35" customWidth="1"/>
    <col min="3343" max="3343" width="13.109375" style="35" customWidth="1"/>
    <col min="3344" max="3345" width="11.33203125" style="35" customWidth="1"/>
    <col min="3346" max="3346" width="13.88671875" style="35" customWidth="1"/>
    <col min="3347" max="3587" width="10" style="35"/>
    <col min="3588" max="3588" width="12.109375" style="35" customWidth="1"/>
    <col min="3589" max="3589" width="10" style="35"/>
    <col min="3590" max="3591" width="11.33203125" style="35" customWidth="1"/>
    <col min="3592" max="3592" width="24.6640625" style="35" customWidth="1"/>
    <col min="3593" max="3593" width="12" style="35" customWidth="1"/>
    <col min="3594" max="3595" width="10" style="35"/>
    <col min="3596" max="3596" width="11.6640625" style="35" customWidth="1"/>
    <col min="3597" max="3597" width="11.88671875" style="35" customWidth="1"/>
    <col min="3598" max="3598" width="16" style="35" customWidth="1"/>
    <col min="3599" max="3599" width="13.109375" style="35" customWidth="1"/>
    <col min="3600" max="3601" width="11.33203125" style="35" customWidth="1"/>
    <col min="3602" max="3602" width="13.88671875" style="35" customWidth="1"/>
    <col min="3603" max="3843" width="10" style="35"/>
    <col min="3844" max="3844" width="12.109375" style="35" customWidth="1"/>
    <col min="3845" max="3845" width="10" style="35"/>
    <col min="3846" max="3847" width="11.33203125" style="35" customWidth="1"/>
    <col min="3848" max="3848" width="24.6640625" style="35" customWidth="1"/>
    <col min="3849" max="3849" width="12" style="35" customWidth="1"/>
    <col min="3850" max="3851" width="10" style="35"/>
    <col min="3852" max="3852" width="11.6640625" style="35" customWidth="1"/>
    <col min="3853" max="3853" width="11.88671875" style="35" customWidth="1"/>
    <col min="3854" max="3854" width="16" style="35" customWidth="1"/>
    <col min="3855" max="3855" width="13.109375" style="35" customWidth="1"/>
    <col min="3856" max="3857" width="11.33203125" style="35" customWidth="1"/>
    <col min="3858" max="3858" width="13.88671875" style="35" customWidth="1"/>
    <col min="3859" max="4099" width="10" style="35"/>
    <col min="4100" max="4100" width="12.109375" style="35" customWidth="1"/>
    <col min="4101" max="4101" width="10" style="35"/>
    <col min="4102" max="4103" width="11.33203125" style="35" customWidth="1"/>
    <col min="4104" max="4104" width="24.6640625" style="35" customWidth="1"/>
    <col min="4105" max="4105" width="12" style="35" customWidth="1"/>
    <col min="4106" max="4107" width="10" style="35"/>
    <col min="4108" max="4108" width="11.6640625" style="35" customWidth="1"/>
    <col min="4109" max="4109" width="11.88671875" style="35" customWidth="1"/>
    <col min="4110" max="4110" width="16" style="35" customWidth="1"/>
    <col min="4111" max="4111" width="13.109375" style="35" customWidth="1"/>
    <col min="4112" max="4113" width="11.33203125" style="35" customWidth="1"/>
    <col min="4114" max="4114" width="13.88671875" style="35" customWidth="1"/>
    <col min="4115" max="4355" width="10" style="35"/>
    <col min="4356" max="4356" width="12.109375" style="35" customWidth="1"/>
    <col min="4357" max="4357" width="10" style="35"/>
    <col min="4358" max="4359" width="11.33203125" style="35" customWidth="1"/>
    <col min="4360" max="4360" width="24.6640625" style="35" customWidth="1"/>
    <col min="4361" max="4361" width="12" style="35" customWidth="1"/>
    <col min="4362" max="4363" width="10" style="35"/>
    <col min="4364" max="4364" width="11.6640625" style="35" customWidth="1"/>
    <col min="4365" max="4365" width="11.88671875" style="35" customWidth="1"/>
    <col min="4366" max="4366" width="16" style="35" customWidth="1"/>
    <col min="4367" max="4367" width="13.109375" style="35" customWidth="1"/>
    <col min="4368" max="4369" width="11.33203125" style="35" customWidth="1"/>
    <col min="4370" max="4370" width="13.88671875" style="35" customWidth="1"/>
    <col min="4371" max="4611" width="10" style="35"/>
    <col min="4612" max="4612" width="12.109375" style="35" customWidth="1"/>
    <col min="4613" max="4613" width="10" style="35"/>
    <col min="4614" max="4615" width="11.33203125" style="35" customWidth="1"/>
    <col min="4616" max="4616" width="24.6640625" style="35" customWidth="1"/>
    <col min="4617" max="4617" width="12" style="35" customWidth="1"/>
    <col min="4618" max="4619" width="10" style="35"/>
    <col min="4620" max="4620" width="11.6640625" style="35" customWidth="1"/>
    <col min="4621" max="4621" width="11.88671875" style="35" customWidth="1"/>
    <col min="4622" max="4622" width="16" style="35" customWidth="1"/>
    <col min="4623" max="4623" width="13.109375" style="35" customWidth="1"/>
    <col min="4624" max="4625" width="11.33203125" style="35" customWidth="1"/>
    <col min="4626" max="4626" width="13.88671875" style="35" customWidth="1"/>
    <col min="4627" max="4867" width="10" style="35"/>
    <col min="4868" max="4868" width="12.109375" style="35" customWidth="1"/>
    <col min="4869" max="4869" width="10" style="35"/>
    <col min="4870" max="4871" width="11.33203125" style="35" customWidth="1"/>
    <col min="4872" max="4872" width="24.6640625" style="35" customWidth="1"/>
    <col min="4873" max="4873" width="12" style="35" customWidth="1"/>
    <col min="4874" max="4875" width="10" style="35"/>
    <col min="4876" max="4876" width="11.6640625" style="35" customWidth="1"/>
    <col min="4877" max="4877" width="11.88671875" style="35" customWidth="1"/>
    <col min="4878" max="4878" width="16" style="35" customWidth="1"/>
    <col min="4879" max="4879" width="13.109375" style="35" customWidth="1"/>
    <col min="4880" max="4881" width="11.33203125" style="35" customWidth="1"/>
    <col min="4882" max="4882" width="13.88671875" style="35" customWidth="1"/>
    <col min="4883" max="5123" width="10" style="35"/>
    <col min="5124" max="5124" width="12.109375" style="35" customWidth="1"/>
    <col min="5125" max="5125" width="10" style="35"/>
    <col min="5126" max="5127" width="11.33203125" style="35" customWidth="1"/>
    <col min="5128" max="5128" width="24.6640625" style="35" customWidth="1"/>
    <col min="5129" max="5129" width="12" style="35" customWidth="1"/>
    <col min="5130" max="5131" width="10" style="35"/>
    <col min="5132" max="5132" width="11.6640625" style="35" customWidth="1"/>
    <col min="5133" max="5133" width="11.88671875" style="35" customWidth="1"/>
    <col min="5134" max="5134" width="16" style="35" customWidth="1"/>
    <col min="5135" max="5135" width="13.109375" style="35" customWidth="1"/>
    <col min="5136" max="5137" width="11.33203125" style="35" customWidth="1"/>
    <col min="5138" max="5138" width="13.88671875" style="35" customWidth="1"/>
    <col min="5139" max="5379" width="10" style="35"/>
    <col min="5380" max="5380" width="12.109375" style="35" customWidth="1"/>
    <col min="5381" max="5381" width="10" style="35"/>
    <col min="5382" max="5383" width="11.33203125" style="35" customWidth="1"/>
    <col min="5384" max="5384" width="24.6640625" style="35" customWidth="1"/>
    <col min="5385" max="5385" width="12" style="35" customWidth="1"/>
    <col min="5386" max="5387" width="10" style="35"/>
    <col min="5388" max="5388" width="11.6640625" style="35" customWidth="1"/>
    <col min="5389" max="5389" width="11.88671875" style="35" customWidth="1"/>
    <col min="5390" max="5390" width="16" style="35" customWidth="1"/>
    <col min="5391" max="5391" width="13.109375" style="35" customWidth="1"/>
    <col min="5392" max="5393" width="11.33203125" style="35" customWidth="1"/>
    <col min="5394" max="5394" width="13.88671875" style="35" customWidth="1"/>
    <col min="5395" max="5635" width="10" style="35"/>
    <col min="5636" max="5636" width="12.109375" style="35" customWidth="1"/>
    <col min="5637" max="5637" width="10" style="35"/>
    <col min="5638" max="5639" width="11.33203125" style="35" customWidth="1"/>
    <col min="5640" max="5640" width="24.6640625" style="35" customWidth="1"/>
    <col min="5641" max="5641" width="12" style="35" customWidth="1"/>
    <col min="5642" max="5643" width="10" style="35"/>
    <col min="5644" max="5644" width="11.6640625" style="35" customWidth="1"/>
    <col min="5645" max="5645" width="11.88671875" style="35" customWidth="1"/>
    <col min="5646" max="5646" width="16" style="35" customWidth="1"/>
    <col min="5647" max="5647" width="13.109375" style="35" customWidth="1"/>
    <col min="5648" max="5649" width="11.33203125" style="35" customWidth="1"/>
    <col min="5650" max="5650" width="13.88671875" style="35" customWidth="1"/>
    <col min="5651" max="5891" width="10" style="35"/>
    <col min="5892" max="5892" width="12.109375" style="35" customWidth="1"/>
    <col min="5893" max="5893" width="10" style="35"/>
    <col min="5894" max="5895" width="11.33203125" style="35" customWidth="1"/>
    <col min="5896" max="5896" width="24.6640625" style="35" customWidth="1"/>
    <col min="5897" max="5897" width="12" style="35" customWidth="1"/>
    <col min="5898" max="5899" width="10" style="35"/>
    <col min="5900" max="5900" width="11.6640625" style="35" customWidth="1"/>
    <col min="5901" max="5901" width="11.88671875" style="35" customWidth="1"/>
    <col min="5902" max="5902" width="16" style="35" customWidth="1"/>
    <col min="5903" max="5903" width="13.109375" style="35" customWidth="1"/>
    <col min="5904" max="5905" width="11.33203125" style="35" customWidth="1"/>
    <col min="5906" max="5906" width="13.88671875" style="35" customWidth="1"/>
    <col min="5907" max="6147" width="10" style="35"/>
    <col min="6148" max="6148" width="12.109375" style="35" customWidth="1"/>
    <col min="6149" max="6149" width="10" style="35"/>
    <col min="6150" max="6151" width="11.33203125" style="35" customWidth="1"/>
    <col min="6152" max="6152" width="24.6640625" style="35" customWidth="1"/>
    <col min="6153" max="6153" width="12" style="35" customWidth="1"/>
    <col min="6154" max="6155" width="10" style="35"/>
    <col min="6156" max="6156" width="11.6640625" style="35" customWidth="1"/>
    <col min="6157" max="6157" width="11.88671875" style="35" customWidth="1"/>
    <col min="6158" max="6158" width="16" style="35" customWidth="1"/>
    <col min="6159" max="6159" width="13.109375" style="35" customWidth="1"/>
    <col min="6160" max="6161" width="11.33203125" style="35" customWidth="1"/>
    <col min="6162" max="6162" width="13.88671875" style="35" customWidth="1"/>
    <col min="6163" max="6403" width="10" style="35"/>
    <col min="6404" max="6404" width="12.109375" style="35" customWidth="1"/>
    <col min="6405" max="6405" width="10" style="35"/>
    <col min="6406" max="6407" width="11.33203125" style="35" customWidth="1"/>
    <col min="6408" max="6408" width="24.6640625" style="35" customWidth="1"/>
    <col min="6409" max="6409" width="12" style="35" customWidth="1"/>
    <col min="6410" max="6411" width="10" style="35"/>
    <col min="6412" max="6412" width="11.6640625" style="35" customWidth="1"/>
    <col min="6413" max="6413" width="11.88671875" style="35" customWidth="1"/>
    <col min="6414" max="6414" width="16" style="35" customWidth="1"/>
    <col min="6415" max="6415" width="13.109375" style="35" customWidth="1"/>
    <col min="6416" max="6417" width="11.33203125" style="35" customWidth="1"/>
    <col min="6418" max="6418" width="13.88671875" style="35" customWidth="1"/>
    <col min="6419" max="6659" width="10" style="35"/>
    <col min="6660" max="6660" width="12.109375" style="35" customWidth="1"/>
    <col min="6661" max="6661" width="10" style="35"/>
    <col min="6662" max="6663" width="11.33203125" style="35" customWidth="1"/>
    <col min="6664" max="6664" width="24.6640625" style="35" customWidth="1"/>
    <col min="6665" max="6665" width="12" style="35" customWidth="1"/>
    <col min="6666" max="6667" width="10" style="35"/>
    <col min="6668" max="6668" width="11.6640625" style="35" customWidth="1"/>
    <col min="6669" max="6669" width="11.88671875" style="35" customWidth="1"/>
    <col min="6670" max="6670" width="16" style="35" customWidth="1"/>
    <col min="6671" max="6671" width="13.109375" style="35" customWidth="1"/>
    <col min="6672" max="6673" width="11.33203125" style="35" customWidth="1"/>
    <col min="6674" max="6674" width="13.88671875" style="35" customWidth="1"/>
    <col min="6675" max="6915" width="10" style="35"/>
    <col min="6916" max="6916" width="12.109375" style="35" customWidth="1"/>
    <col min="6917" max="6917" width="10" style="35"/>
    <col min="6918" max="6919" width="11.33203125" style="35" customWidth="1"/>
    <col min="6920" max="6920" width="24.6640625" style="35" customWidth="1"/>
    <col min="6921" max="6921" width="12" style="35" customWidth="1"/>
    <col min="6922" max="6923" width="10" style="35"/>
    <col min="6924" max="6924" width="11.6640625" style="35" customWidth="1"/>
    <col min="6925" max="6925" width="11.88671875" style="35" customWidth="1"/>
    <col min="6926" max="6926" width="16" style="35" customWidth="1"/>
    <col min="6927" max="6927" width="13.109375" style="35" customWidth="1"/>
    <col min="6928" max="6929" width="11.33203125" style="35" customWidth="1"/>
    <col min="6930" max="6930" width="13.88671875" style="35" customWidth="1"/>
    <col min="6931" max="7171" width="10" style="35"/>
    <col min="7172" max="7172" width="12.109375" style="35" customWidth="1"/>
    <col min="7173" max="7173" width="10" style="35"/>
    <col min="7174" max="7175" width="11.33203125" style="35" customWidth="1"/>
    <col min="7176" max="7176" width="24.6640625" style="35" customWidth="1"/>
    <col min="7177" max="7177" width="12" style="35" customWidth="1"/>
    <col min="7178" max="7179" width="10" style="35"/>
    <col min="7180" max="7180" width="11.6640625" style="35" customWidth="1"/>
    <col min="7181" max="7181" width="11.88671875" style="35" customWidth="1"/>
    <col min="7182" max="7182" width="16" style="35" customWidth="1"/>
    <col min="7183" max="7183" width="13.109375" style="35" customWidth="1"/>
    <col min="7184" max="7185" width="11.33203125" style="35" customWidth="1"/>
    <col min="7186" max="7186" width="13.88671875" style="35" customWidth="1"/>
    <col min="7187" max="7427" width="10" style="35"/>
    <col min="7428" max="7428" width="12.109375" style="35" customWidth="1"/>
    <col min="7429" max="7429" width="10" style="35"/>
    <col min="7430" max="7431" width="11.33203125" style="35" customWidth="1"/>
    <col min="7432" max="7432" width="24.6640625" style="35" customWidth="1"/>
    <col min="7433" max="7433" width="12" style="35" customWidth="1"/>
    <col min="7434" max="7435" width="10" style="35"/>
    <col min="7436" max="7436" width="11.6640625" style="35" customWidth="1"/>
    <col min="7437" max="7437" width="11.88671875" style="35" customWidth="1"/>
    <col min="7438" max="7438" width="16" style="35" customWidth="1"/>
    <col min="7439" max="7439" width="13.109375" style="35" customWidth="1"/>
    <col min="7440" max="7441" width="11.33203125" style="35" customWidth="1"/>
    <col min="7442" max="7442" width="13.88671875" style="35" customWidth="1"/>
    <col min="7443" max="7683" width="10" style="35"/>
    <col min="7684" max="7684" width="12.109375" style="35" customWidth="1"/>
    <col min="7685" max="7685" width="10" style="35"/>
    <col min="7686" max="7687" width="11.33203125" style="35" customWidth="1"/>
    <col min="7688" max="7688" width="24.6640625" style="35" customWidth="1"/>
    <col min="7689" max="7689" width="12" style="35" customWidth="1"/>
    <col min="7690" max="7691" width="10" style="35"/>
    <col min="7692" max="7692" width="11.6640625" style="35" customWidth="1"/>
    <col min="7693" max="7693" width="11.88671875" style="35" customWidth="1"/>
    <col min="7694" max="7694" width="16" style="35" customWidth="1"/>
    <col min="7695" max="7695" width="13.109375" style="35" customWidth="1"/>
    <col min="7696" max="7697" width="11.33203125" style="35" customWidth="1"/>
    <col min="7698" max="7698" width="13.88671875" style="35" customWidth="1"/>
    <col min="7699" max="7939" width="10" style="35"/>
    <col min="7940" max="7940" width="12.109375" style="35" customWidth="1"/>
    <col min="7941" max="7941" width="10" style="35"/>
    <col min="7942" max="7943" width="11.33203125" style="35" customWidth="1"/>
    <col min="7944" max="7944" width="24.6640625" style="35" customWidth="1"/>
    <col min="7945" max="7945" width="12" style="35" customWidth="1"/>
    <col min="7946" max="7947" width="10" style="35"/>
    <col min="7948" max="7948" width="11.6640625" style="35" customWidth="1"/>
    <col min="7949" max="7949" width="11.88671875" style="35" customWidth="1"/>
    <col min="7950" max="7950" width="16" style="35" customWidth="1"/>
    <col min="7951" max="7951" width="13.109375" style="35" customWidth="1"/>
    <col min="7952" max="7953" width="11.33203125" style="35" customWidth="1"/>
    <col min="7954" max="7954" width="13.88671875" style="35" customWidth="1"/>
    <col min="7955" max="8195" width="10" style="35"/>
    <col min="8196" max="8196" width="12.109375" style="35" customWidth="1"/>
    <col min="8197" max="8197" width="10" style="35"/>
    <col min="8198" max="8199" width="11.33203125" style="35" customWidth="1"/>
    <col min="8200" max="8200" width="24.6640625" style="35" customWidth="1"/>
    <col min="8201" max="8201" width="12" style="35" customWidth="1"/>
    <col min="8202" max="8203" width="10" style="35"/>
    <col min="8204" max="8204" width="11.6640625" style="35" customWidth="1"/>
    <col min="8205" max="8205" width="11.88671875" style="35" customWidth="1"/>
    <col min="8206" max="8206" width="16" style="35" customWidth="1"/>
    <col min="8207" max="8207" width="13.109375" style="35" customWidth="1"/>
    <col min="8208" max="8209" width="11.33203125" style="35" customWidth="1"/>
    <col min="8210" max="8210" width="13.88671875" style="35" customWidth="1"/>
    <col min="8211" max="8451" width="10" style="35"/>
    <col min="8452" max="8452" width="12.109375" style="35" customWidth="1"/>
    <col min="8453" max="8453" width="10" style="35"/>
    <col min="8454" max="8455" width="11.33203125" style="35" customWidth="1"/>
    <col min="8456" max="8456" width="24.6640625" style="35" customWidth="1"/>
    <col min="8457" max="8457" width="12" style="35" customWidth="1"/>
    <col min="8458" max="8459" width="10" style="35"/>
    <col min="8460" max="8460" width="11.6640625" style="35" customWidth="1"/>
    <col min="8461" max="8461" width="11.88671875" style="35" customWidth="1"/>
    <col min="8462" max="8462" width="16" style="35" customWidth="1"/>
    <col min="8463" max="8463" width="13.109375" style="35" customWidth="1"/>
    <col min="8464" max="8465" width="11.33203125" style="35" customWidth="1"/>
    <col min="8466" max="8466" width="13.88671875" style="35" customWidth="1"/>
    <col min="8467" max="8707" width="10" style="35"/>
    <col min="8708" max="8708" width="12.109375" style="35" customWidth="1"/>
    <col min="8709" max="8709" width="10" style="35"/>
    <col min="8710" max="8711" width="11.33203125" style="35" customWidth="1"/>
    <col min="8712" max="8712" width="24.6640625" style="35" customWidth="1"/>
    <col min="8713" max="8713" width="12" style="35" customWidth="1"/>
    <col min="8714" max="8715" width="10" style="35"/>
    <col min="8716" max="8716" width="11.6640625" style="35" customWidth="1"/>
    <col min="8717" max="8717" width="11.88671875" style="35" customWidth="1"/>
    <col min="8718" max="8718" width="16" style="35" customWidth="1"/>
    <col min="8719" max="8719" width="13.109375" style="35" customWidth="1"/>
    <col min="8720" max="8721" width="11.33203125" style="35" customWidth="1"/>
    <col min="8722" max="8722" width="13.88671875" style="35" customWidth="1"/>
    <col min="8723" max="8963" width="10" style="35"/>
    <col min="8964" max="8964" width="12.109375" style="35" customWidth="1"/>
    <col min="8965" max="8965" width="10" style="35"/>
    <col min="8966" max="8967" width="11.33203125" style="35" customWidth="1"/>
    <col min="8968" max="8968" width="24.6640625" style="35" customWidth="1"/>
    <col min="8969" max="8969" width="12" style="35" customWidth="1"/>
    <col min="8970" max="8971" width="10" style="35"/>
    <col min="8972" max="8972" width="11.6640625" style="35" customWidth="1"/>
    <col min="8973" max="8973" width="11.88671875" style="35" customWidth="1"/>
    <col min="8974" max="8974" width="16" style="35" customWidth="1"/>
    <col min="8975" max="8975" width="13.109375" style="35" customWidth="1"/>
    <col min="8976" max="8977" width="11.33203125" style="35" customWidth="1"/>
    <col min="8978" max="8978" width="13.88671875" style="35" customWidth="1"/>
    <col min="8979" max="9219" width="10" style="35"/>
    <col min="9220" max="9220" width="12.109375" style="35" customWidth="1"/>
    <col min="9221" max="9221" width="10" style="35"/>
    <col min="9222" max="9223" width="11.33203125" style="35" customWidth="1"/>
    <col min="9224" max="9224" width="24.6640625" style="35" customWidth="1"/>
    <col min="9225" max="9225" width="12" style="35" customWidth="1"/>
    <col min="9226" max="9227" width="10" style="35"/>
    <col min="9228" max="9228" width="11.6640625" style="35" customWidth="1"/>
    <col min="9229" max="9229" width="11.88671875" style="35" customWidth="1"/>
    <col min="9230" max="9230" width="16" style="35" customWidth="1"/>
    <col min="9231" max="9231" width="13.109375" style="35" customWidth="1"/>
    <col min="9232" max="9233" width="11.33203125" style="35" customWidth="1"/>
    <col min="9234" max="9234" width="13.88671875" style="35" customWidth="1"/>
    <col min="9235" max="9475" width="10" style="35"/>
    <col min="9476" max="9476" width="12.109375" style="35" customWidth="1"/>
    <col min="9477" max="9477" width="10" style="35"/>
    <col min="9478" max="9479" width="11.33203125" style="35" customWidth="1"/>
    <col min="9480" max="9480" width="24.6640625" style="35" customWidth="1"/>
    <col min="9481" max="9481" width="12" style="35" customWidth="1"/>
    <col min="9482" max="9483" width="10" style="35"/>
    <col min="9484" max="9484" width="11.6640625" style="35" customWidth="1"/>
    <col min="9485" max="9485" width="11.88671875" style="35" customWidth="1"/>
    <col min="9486" max="9486" width="16" style="35" customWidth="1"/>
    <col min="9487" max="9487" width="13.109375" style="35" customWidth="1"/>
    <col min="9488" max="9489" width="11.33203125" style="35" customWidth="1"/>
    <col min="9490" max="9490" width="13.88671875" style="35" customWidth="1"/>
    <col min="9491" max="9731" width="10" style="35"/>
    <col min="9732" max="9732" width="12.109375" style="35" customWidth="1"/>
    <col min="9733" max="9733" width="10" style="35"/>
    <col min="9734" max="9735" width="11.33203125" style="35" customWidth="1"/>
    <col min="9736" max="9736" width="24.6640625" style="35" customWidth="1"/>
    <col min="9737" max="9737" width="12" style="35" customWidth="1"/>
    <col min="9738" max="9739" width="10" style="35"/>
    <col min="9740" max="9740" width="11.6640625" style="35" customWidth="1"/>
    <col min="9741" max="9741" width="11.88671875" style="35" customWidth="1"/>
    <col min="9742" max="9742" width="16" style="35" customWidth="1"/>
    <col min="9743" max="9743" width="13.109375" style="35" customWidth="1"/>
    <col min="9744" max="9745" width="11.33203125" style="35" customWidth="1"/>
    <col min="9746" max="9746" width="13.88671875" style="35" customWidth="1"/>
    <col min="9747" max="9987" width="10" style="35"/>
    <col min="9988" max="9988" width="12.109375" style="35" customWidth="1"/>
    <col min="9989" max="9989" width="10" style="35"/>
    <col min="9990" max="9991" width="11.33203125" style="35" customWidth="1"/>
    <col min="9992" max="9992" width="24.6640625" style="35" customWidth="1"/>
    <col min="9993" max="9993" width="12" style="35" customWidth="1"/>
    <col min="9994" max="9995" width="10" style="35"/>
    <col min="9996" max="9996" width="11.6640625" style="35" customWidth="1"/>
    <col min="9997" max="9997" width="11.88671875" style="35" customWidth="1"/>
    <col min="9998" max="9998" width="16" style="35" customWidth="1"/>
    <col min="9999" max="9999" width="13.109375" style="35" customWidth="1"/>
    <col min="10000" max="10001" width="11.33203125" style="35" customWidth="1"/>
    <col min="10002" max="10002" width="13.88671875" style="35" customWidth="1"/>
    <col min="10003" max="10243" width="10" style="35"/>
    <col min="10244" max="10244" width="12.109375" style="35" customWidth="1"/>
    <col min="10245" max="10245" width="10" style="35"/>
    <col min="10246" max="10247" width="11.33203125" style="35" customWidth="1"/>
    <col min="10248" max="10248" width="24.6640625" style="35" customWidth="1"/>
    <col min="10249" max="10249" width="12" style="35" customWidth="1"/>
    <col min="10250" max="10251" width="10" style="35"/>
    <col min="10252" max="10252" width="11.6640625" style="35" customWidth="1"/>
    <col min="10253" max="10253" width="11.88671875" style="35" customWidth="1"/>
    <col min="10254" max="10254" width="16" style="35" customWidth="1"/>
    <col min="10255" max="10255" width="13.109375" style="35" customWidth="1"/>
    <col min="10256" max="10257" width="11.33203125" style="35" customWidth="1"/>
    <col min="10258" max="10258" width="13.88671875" style="35" customWidth="1"/>
    <col min="10259" max="10499" width="10" style="35"/>
    <col min="10500" max="10500" width="12.109375" style="35" customWidth="1"/>
    <col min="10501" max="10501" width="10" style="35"/>
    <col min="10502" max="10503" width="11.33203125" style="35" customWidth="1"/>
    <col min="10504" max="10504" width="24.6640625" style="35" customWidth="1"/>
    <col min="10505" max="10505" width="12" style="35" customWidth="1"/>
    <col min="10506" max="10507" width="10" style="35"/>
    <col min="10508" max="10508" width="11.6640625" style="35" customWidth="1"/>
    <col min="10509" max="10509" width="11.88671875" style="35" customWidth="1"/>
    <col min="10510" max="10510" width="16" style="35" customWidth="1"/>
    <col min="10511" max="10511" width="13.109375" style="35" customWidth="1"/>
    <col min="10512" max="10513" width="11.33203125" style="35" customWidth="1"/>
    <col min="10514" max="10514" width="13.88671875" style="35" customWidth="1"/>
    <col min="10515" max="10755" width="10" style="35"/>
    <col min="10756" max="10756" width="12.109375" style="35" customWidth="1"/>
    <col min="10757" max="10757" width="10" style="35"/>
    <col min="10758" max="10759" width="11.33203125" style="35" customWidth="1"/>
    <col min="10760" max="10760" width="24.6640625" style="35" customWidth="1"/>
    <col min="10761" max="10761" width="12" style="35" customWidth="1"/>
    <col min="10762" max="10763" width="10" style="35"/>
    <col min="10764" max="10764" width="11.6640625" style="35" customWidth="1"/>
    <col min="10765" max="10765" width="11.88671875" style="35" customWidth="1"/>
    <col min="10766" max="10766" width="16" style="35" customWidth="1"/>
    <col min="10767" max="10767" width="13.109375" style="35" customWidth="1"/>
    <col min="10768" max="10769" width="11.33203125" style="35" customWidth="1"/>
    <col min="10770" max="10770" width="13.88671875" style="35" customWidth="1"/>
    <col min="10771" max="11011" width="10" style="35"/>
    <col min="11012" max="11012" width="12.109375" style="35" customWidth="1"/>
    <col min="11013" max="11013" width="10" style="35"/>
    <col min="11014" max="11015" width="11.33203125" style="35" customWidth="1"/>
    <col min="11016" max="11016" width="24.6640625" style="35" customWidth="1"/>
    <col min="11017" max="11017" width="12" style="35" customWidth="1"/>
    <col min="11018" max="11019" width="10" style="35"/>
    <col min="11020" max="11020" width="11.6640625" style="35" customWidth="1"/>
    <col min="11021" max="11021" width="11.88671875" style="35" customWidth="1"/>
    <col min="11022" max="11022" width="16" style="35" customWidth="1"/>
    <col min="11023" max="11023" width="13.109375" style="35" customWidth="1"/>
    <col min="11024" max="11025" width="11.33203125" style="35" customWidth="1"/>
    <col min="11026" max="11026" width="13.88671875" style="35" customWidth="1"/>
    <col min="11027" max="11267" width="10" style="35"/>
    <col min="11268" max="11268" width="12.109375" style="35" customWidth="1"/>
    <col min="11269" max="11269" width="10" style="35"/>
    <col min="11270" max="11271" width="11.33203125" style="35" customWidth="1"/>
    <col min="11272" max="11272" width="24.6640625" style="35" customWidth="1"/>
    <col min="11273" max="11273" width="12" style="35" customWidth="1"/>
    <col min="11274" max="11275" width="10" style="35"/>
    <col min="11276" max="11276" width="11.6640625" style="35" customWidth="1"/>
    <col min="11277" max="11277" width="11.88671875" style="35" customWidth="1"/>
    <col min="11278" max="11278" width="16" style="35" customWidth="1"/>
    <col min="11279" max="11279" width="13.109375" style="35" customWidth="1"/>
    <col min="11280" max="11281" width="11.33203125" style="35" customWidth="1"/>
    <col min="11282" max="11282" width="13.88671875" style="35" customWidth="1"/>
    <col min="11283" max="11523" width="10" style="35"/>
    <col min="11524" max="11524" width="12.109375" style="35" customWidth="1"/>
    <col min="11525" max="11525" width="10" style="35"/>
    <col min="11526" max="11527" width="11.33203125" style="35" customWidth="1"/>
    <col min="11528" max="11528" width="24.6640625" style="35" customWidth="1"/>
    <col min="11529" max="11529" width="12" style="35" customWidth="1"/>
    <col min="11530" max="11531" width="10" style="35"/>
    <col min="11532" max="11532" width="11.6640625" style="35" customWidth="1"/>
    <col min="11533" max="11533" width="11.88671875" style="35" customWidth="1"/>
    <col min="11534" max="11534" width="16" style="35" customWidth="1"/>
    <col min="11535" max="11535" width="13.109375" style="35" customWidth="1"/>
    <col min="11536" max="11537" width="11.33203125" style="35" customWidth="1"/>
    <col min="11538" max="11538" width="13.88671875" style="35" customWidth="1"/>
    <col min="11539" max="11779" width="10" style="35"/>
    <col min="11780" max="11780" width="12.109375" style="35" customWidth="1"/>
    <col min="11781" max="11781" width="10" style="35"/>
    <col min="11782" max="11783" width="11.33203125" style="35" customWidth="1"/>
    <col min="11784" max="11784" width="24.6640625" style="35" customWidth="1"/>
    <col min="11785" max="11785" width="12" style="35" customWidth="1"/>
    <col min="11786" max="11787" width="10" style="35"/>
    <col min="11788" max="11788" width="11.6640625" style="35" customWidth="1"/>
    <col min="11789" max="11789" width="11.88671875" style="35" customWidth="1"/>
    <col min="11790" max="11790" width="16" style="35" customWidth="1"/>
    <col min="11791" max="11791" width="13.109375" style="35" customWidth="1"/>
    <col min="11792" max="11793" width="11.33203125" style="35" customWidth="1"/>
    <col min="11794" max="11794" width="13.88671875" style="35" customWidth="1"/>
    <col min="11795" max="12035" width="10" style="35"/>
    <col min="12036" max="12036" width="12.109375" style="35" customWidth="1"/>
    <col min="12037" max="12037" width="10" style="35"/>
    <col min="12038" max="12039" width="11.33203125" style="35" customWidth="1"/>
    <col min="12040" max="12040" width="24.6640625" style="35" customWidth="1"/>
    <col min="12041" max="12041" width="12" style="35" customWidth="1"/>
    <col min="12042" max="12043" width="10" style="35"/>
    <col min="12044" max="12044" width="11.6640625" style="35" customWidth="1"/>
    <col min="12045" max="12045" width="11.88671875" style="35" customWidth="1"/>
    <col min="12046" max="12046" width="16" style="35" customWidth="1"/>
    <col min="12047" max="12047" width="13.109375" style="35" customWidth="1"/>
    <col min="12048" max="12049" width="11.33203125" style="35" customWidth="1"/>
    <col min="12050" max="12050" width="13.88671875" style="35" customWidth="1"/>
    <col min="12051" max="12291" width="10" style="35"/>
    <col min="12292" max="12292" width="12.109375" style="35" customWidth="1"/>
    <col min="12293" max="12293" width="10" style="35"/>
    <col min="12294" max="12295" width="11.33203125" style="35" customWidth="1"/>
    <col min="12296" max="12296" width="24.6640625" style="35" customWidth="1"/>
    <col min="12297" max="12297" width="12" style="35" customWidth="1"/>
    <col min="12298" max="12299" width="10" style="35"/>
    <col min="12300" max="12300" width="11.6640625" style="35" customWidth="1"/>
    <col min="12301" max="12301" width="11.88671875" style="35" customWidth="1"/>
    <col min="12302" max="12302" width="16" style="35" customWidth="1"/>
    <col min="12303" max="12303" width="13.109375" style="35" customWidth="1"/>
    <col min="12304" max="12305" width="11.33203125" style="35" customWidth="1"/>
    <col min="12306" max="12306" width="13.88671875" style="35" customWidth="1"/>
    <col min="12307" max="12547" width="10" style="35"/>
    <col min="12548" max="12548" width="12.109375" style="35" customWidth="1"/>
    <col min="12549" max="12549" width="10" style="35"/>
    <col min="12550" max="12551" width="11.33203125" style="35" customWidth="1"/>
    <col min="12552" max="12552" width="24.6640625" style="35" customWidth="1"/>
    <col min="12553" max="12553" width="12" style="35" customWidth="1"/>
    <col min="12554" max="12555" width="10" style="35"/>
    <col min="12556" max="12556" width="11.6640625" style="35" customWidth="1"/>
    <col min="12557" max="12557" width="11.88671875" style="35" customWidth="1"/>
    <col min="12558" max="12558" width="16" style="35" customWidth="1"/>
    <col min="12559" max="12559" width="13.109375" style="35" customWidth="1"/>
    <col min="12560" max="12561" width="11.33203125" style="35" customWidth="1"/>
    <col min="12562" max="12562" width="13.88671875" style="35" customWidth="1"/>
    <col min="12563" max="12803" width="10" style="35"/>
    <col min="12804" max="12804" width="12.109375" style="35" customWidth="1"/>
    <col min="12805" max="12805" width="10" style="35"/>
    <col min="12806" max="12807" width="11.33203125" style="35" customWidth="1"/>
    <col min="12808" max="12808" width="24.6640625" style="35" customWidth="1"/>
    <col min="12809" max="12809" width="12" style="35" customWidth="1"/>
    <col min="12810" max="12811" width="10" style="35"/>
    <col min="12812" max="12812" width="11.6640625" style="35" customWidth="1"/>
    <col min="12813" max="12813" width="11.88671875" style="35" customWidth="1"/>
    <col min="12814" max="12814" width="16" style="35" customWidth="1"/>
    <col min="12815" max="12815" width="13.109375" style="35" customWidth="1"/>
    <col min="12816" max="12817" width="11.33203125" style="35" customWidth="1"/>
    <col min="12818" max="12818" width="13.88671875" style="35" customWidth="1"/>
    <col min="12819" max="13059" width="10" style="35"/>
    <col min="13060" max="13060" width="12.109375" style="35" customWidth="1"/>
    <col min="13061" max="13061" width="10" style="35"/>
    <col min="13062" max="13063" width="11.33203125" style="35" customWidth="1"/>
    <col min="13064" max="13064" width="24.6640625" style="35" customWidth="1"/>
    <col min="13065" max="13065" width="12" style="35" customWidth="1"/>
    <col min="13066" max="13067" width="10" style="35"/>
    <col min="13068" max="13068" width="11.6640625" style="35" customWidth="1"/>
    <col min="13069" max="13069" width="11.88671875" style="35" customWidth="1"/>
    <col min="13070" max="13070" width="16" style="35" customWidth="1"/>
    <col min="13071" max="13071" width="13.109375" style="35" customWidth="1"/>
    <col min="13072" max="13073" width="11.33203125" style="35" customWidth="1"/>
    <col min="13074" max="13074" width="13.88671875" style="35" customWidth="1"/>
    <col min="13075" max="13315" width="10" style="35"/>
    <col min="13316" max="13316" width="12.109375" style="35" customWidth="1"/>
    <col min="13317" max="13317" width="10" style="35"/>
    <col min="13318" max="13319" width="11.33203125" style="35" customWidth="1"/>
    <col min="13320" max="13320" width="24.6640625" style="35" customWidth="1"/>
    <col min="13321" max="13321" width="12" style="35" customWidth="1"/>
    <col min="13322" max="13323" width="10" style="35"/>
    <col min="13324" max="13324" width="11.6640625" style="35" customWidth="1"/>
    <col min="13325" max="13325" width="11.88671875" style="35" customWidth="1"/>
    <col min="13326" max="13326" width="16" style="35" customWidth="1"/>
    <col min="13327" max="13327" width="13.109375" style="35" customWidth="1"/>
    <col min="13328" max="13329" width="11.33203125" style="35" customWidth="1"/>
    <col min="13330" max="13330" width="13.88671875" style="35" customWidth="1"/>
    <col min="13331" max="13571" width="10" style="35"/>
    <col min="13572" max="13572" width="12.109375" style="35" customWidth="1"/>
    <col min="13573" max="13573" width="10" style="35"/>
    <col min="13574" max="13575" width="11.33203125" style="35" customWidth="1"/>
    <col min="13576" max="13576" width="24.6640625" style="35" customWidth="1"/>
    <col min="13577" max="13577" width="12" style="35" customWidth="1"/>
    <col min="13578" max="13579" width="10" style="35"/>
    <col min="13580" max="13580" width="11.6640625" style="35" customWidth="1"/>
    <col min="13581" max="13581" width="11.88671875" style="35" customWidth="1"/>
    <col min="13582" max="13582" width="16" style="35" customWidth="1"/>
    <col min="13583" max="13583" width="13.109375" style="35" customWidth="1"/>
    <col min="13584" max="13585" width="11.33203125" style="35" customWidth="1"/>
    <col min="13586" max="13586" width="13.88671875" style="35" customWidth="1"/>
    <col min="13587" max="13827" width="10" style="35"/>
    <col min="13828" max="13828" width="12.109375" style="35" customWidth="1"/>
    <col min="13829" max="13829" width="10" style="35"/>
    <col min="13830" max="13831" width="11.33203125" style="35" customWidth="1"/>
    <col min="13832" max="13832" width="24.6640625" style="35" customWidth="1"/>
    <col min="13833" max="13833" width="12" style="35" customWidth="1"/>
    <col min="13834" max="13835" width="10" style="35"/>
    <col min="13836" max="13836" width="11.6640625" style="35" customWidth="1"/>
    <col min="13837" max="13837" width="11.88671875" style="35" customWidth="1"/>
    <col min="13838" max="13838" width="16" style="35" customWidth="1"/>
    <col min="13839" max="13839" width="13.109375" style="35" customWidth="1"/>
    <col min="13840" max="13841" width="11.33203125" style="35" customWidth="1"/>
    <col min="13842" max="13842" width="13.88671875" style="35" customWidth="1"/>
    <col min="13843" max="14083" width="10" style="35"/>
    <col min="14084" max="14084" width="12.109375" style="35" customWidth="1"/>
    <col min="14085" max="14085" width="10" style="35"/>
    <col min="14086" max="14087" width="11.33203125" style="35" customWidth="1"/>
    <col min="14088" max="14088" width="24.6640625" style="35" customWidth="1"/>
    <col min="14089" max="14089" width="12" style="35" customWidth="1"/>
    <col min="14090" max="14091" width="10" style="35"/>
    <col min="14092" max="14092" width="11.6640625" style="35" customWidth="1"/>
    <col min="14093" max="14093" width="11.88671875" style="35" customWidth="1"/>
    <col min="14094" max="14094" width="16" style="35" customWidth="1"/>
    <col min="14095" max="14095" width="13.109375" style="35" customWidth="1"/>
    <col min="14096" max="14097" width="11.33203125" style="35" customWidth="1"/>
    <col min="14098" max="14098" width="13.88671875" style="35" customWidth="1"/>
    <col min="14099" max="14339" width="10" style="35"/>
    <col min="14340" max="14340" width="12.109375" style="35" customWidth="1"/>
    <col min="14341" max="14341" width="10" style="35"/>
    <col min="14342" max="14343" width="11.33203125" style="35" customWidth="1"/>
    <col min="14344" max="14344" width="24.6640625" style="35" customWidth="1"/>
    <col min="14345" max="14345" width="12" style="35" customWidth="1"/>
    <col min="14346" max="14347" width="10" style="35"/>
    <col min="14348" max="14348" width="11.6640625" style="35" customWidth="1"/>
    <col min="14349" max="14349" width="11.88671875" style="35" customWidth="1"/>
    <col min="14350" max="14350" width="16" style="35" customWidth="1"/>
    <col min="14351" max="14351" width="13.109375" style="35" customWidth="1"/>
    <col min="14352" max="14353" width="11.33203125" style="35" customWidth="1"/>
    <col min="14354" max="14354" width="13.88671875" style="35" customWidth="1"/>
    <col min="14355" max="14595" width="10" style="35"/>
    <col min="14596" max="14596" width="12.109375" style="35" customWidth="1"/>
    <col min="14597" max="14597" width="10" style="35"/>
    <col min="14598" max="14599" width="11.33203125" style="35" customWidth="1"/>
    <col min="14600" max="14600" width="24.6640625" style="35" customWidth="1"/>
    <col min="14601" max="14601" width="12" style="35" customWidth="1"/>
    <col min="14602" max="14603" width="10" style="35"/>
    <col min="14604" max="14604" width="11.6640625" style="35" customWidth="1"/>
    <col min="14605" max="14605" width="11.88671875" style="35" customWidth="1"/>
    <col min="14606" max="14606" width="16" style="35" customWidth="1"/>
    <col min="14607" max="14607" width="13.109375" style="35" customWidth="1"/>
    <col min="14608" max="14609" width="11.33203125" style="35" customWidth="1"/>
    <col min="14610" max="14610" width="13.88671875" style="35" customWidth="1"/>
    <col min="14611" max="14851" width="10" style="35"/>
    <col min="14852" max="14852" width="12.109375" style="35" customWidth="1"/>
    <col min="14853" max="14853" width="10" style="35"/>
    <col min="14854" max="14855" width="11.33203125" style="35" customWidth="1"/>
    <col min="14856" max="14856" width="24.6640625" style="35" customWidth="1"/>
    <col min="14857" max="14857" width="12" style="35" customWidth="1"/>
    <col min="14858" max="14859" width="10" style="35"/>
    <col min="14860" max="14860" width="11.6640625" style="35" customWidth="1"/>
    <col min="14861" max="14861" width="11.88671875" style="35" customWidth="1"/>
    <col min="14862" max="14862" width="16" style="35" customWidth="1"/>
    <col min="14863" max="14863" width="13.109375" style="35" customWidth="1"/>
    <col min="14864" max="14865" width="11.33203125" style="35" customWidth="1"/>
    <col min="14866" max="14866" width="13.88671875" style="35" customWidth="1"/>
    <col min="14867" max="15107" width="10" style="35"/>
    <col min="15108" max="15108" width="12.109375" style="35" customWidth="1"/>
    <col min="15109" max="15109" width="10" style="35"/>
    <col min="15110" max="15111" width="11.33203125" style="35" customWidth="1"/>
    <col min="15112" max="15112" width="24.6640625" style="35" customWidth="1"/>
    <col min="15113" max="15113" width="12" style="35" customWidth="1"/>
    <col min="15114" max="15115" width="10" style="35"/>
    <col min="15116" max="15116" width="11.6640625" style="35" customWidth="1"/>
    <col min="15117" max="15117" width="11.88671875" style="35" customWidth="1"/>
    <col min="15118" max="15118" width="16" style="35" customWidth="1"/>
    <col min="15119" max="15119" width="13.109375" style="35" customWidth="1"/>
    <col min="15120" max="15121" width="11.33203125" style="35" customWidth="1"/>
    <col min="15122" max="15122" width="13.88671875" style="35" customWidth="1"/>
    <col min="15123" max="15363" width="10" style="35"/>
    <col min="15364" max="15364" width="12.109375" style="35" customWidth="1"/>
    <col min="15365" max="15365" width="10" style="35"/>
    <col min="15366" max="15367" width="11.33203125" style="35" customWidth="1"/>
    <col min="15368" max="15368" width="24.6640625" style="35" customWidth="1"/>
    <col min="15369" max="15369" width="12" style="35" customWidth="1"/>
    <col min="15370" max="15371" width="10" style="35"/>
    <col min="15372" max="15372" width="11.6640625" style="35" customWidth="1"/>
    <col min="15373" max="15373" width="11.88671875" style="35" customWidth="1"/>
    <col min="15374" max="15374" width="16" style="35" customWidth="1"/>
    <col min="15375" max="15375" width="13.109375" style="35" customWidth="1"/>
    <col min="15376" max="15377" width="11.33203125" style="35" customWidth="1"/>
    <col min="15378" max="15378" width="13.88671875" style="35" customWidth="1"/>
    <col min="15379" max="15619" width="10" style="35"/>
    <col min="15620" max="15620" width="12.109375" style="35" customWidth="1"/>
    <col min="15621" max="15621" width="10" style="35"/>
    <col min="15622" max="15623" width="11.33203125" style="35" customWidth="1"/>
    <col min="15624" max="15624" width="24.6640625" style="35" customWidth="1"/>
    <col min="15625" max="15625" width="12" style="35" customWidth="1"/>
    <col min="15626" max="15627" width="10" style="35"/>
    <col min="15628" max="15628" width="11.6640625" style="35" customWidth="1"/>
    <col min="15629" max="15629" width="11.88671875" style="35" customWidth="1"/>
    <col min="15630" max="15630" width="16" style="35" customWidth="1"/>
    <col min="15631" max="15631" width="13.109375" style="35" customWidth="1"/>
    <col min="15632" max="15633" width="11.33203125" style="35" customWidth="1"/>
    <col min="15634" max="15634" width="13.88671875" style="35" customWidth="1"/>
    <col min="15635" max="15875" width="10" style="35"/>
    <col min="15876" max="15876" width="12.109375" style="35" customWidth="1"/>
    <col min="15877" max="15877" width="10" style="35"/>
    <col min="15878" max="15879" width="11.33203125" style="35" customWidth="1"/>
    <col min="15880" max="15880" width="24.6640625" style="35" customWidth="1"/>
    <col min="15881" max="15881" width="12" style="35" customWidth="1"/>
    <col min="15882" max="15883" width="10" style="35"/>
    <col min="15884" max="15884" width="11.6640625" style="35" customWidth="1"/>
    <col min="15885" max="15885" width="11.88671875" style="35" customWidth="1"/>
    <col min="15886" max="15886" width="16" style="35" customWidth="1"/>
    <col min="15887" max="15887" width="13.109375" style="35" customWidth="1"/>
    <col min="15888" max="15889" width="11.33203125" style="35" customWidth="1"/>
    <col min="15890" max="15890" width="13.88671875" style="35" customWidth="1"/>
    <col min="15891" max="16131" width="10" style="35"/>
    <col min="16132" max="16132" width="12.109375" style="35" customWidth="1"/>
    <col min="16133" max="16133" width="10" style="35"/>
    <col min="16134" max="16135" width="11.33203125" style="35" customWidth="1"/>
    <col min="16136" max="16136" width="24.6640625" style="35" customWidth="1"/>
    <col min="16137" max="16137" width="12" style="35" customWidth="1"/>
    <col min="16138" max="16139" width="10" style="35"/>
    <col min="16140" max="16140" width="11.6640625" style="35" customWidth="1"/>
    <col min="16141" max="16141" width="11.88671875" style="35" customWidth="1"/>
    <col min="16142" max="16142" width="16" style="35" customWidth="1"/>
    <col min="16143" max="16143" width="13.109375" style="35" customWidth="1"/>
    <col min="16144" max="16145" width="11.33203125" style="35" customWidth="1"/>
    <col min="16146" max="16146" width="13.88671875" style="35" customWidth="1"/>
    <col min="16147" max="16384" width="10" style="35"/>
  </cols>
  <sheetData>
    <row r="1" spans="1:19" s="29" customFormat="1" ht="36" customHeight="1">
      <c r="A1" s="240" t="s">
        <v>136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2"/>
    </row>
    <row r="2" spans="1:19" s="30" customFormat="1">
      <c r="A2" s="40" t="s">
        <v>141</v>
      </c>
      <c r="B2" s="39" t="s">
        <v>94</v>
      </c>
      <c r="C2" s="40" t="s">
        <v>95</v>
      </c>
      <c r="D2" s="40" t="s">
        <v>707</v>
      </c>
      <c r="E2" s="40" t="s">
        <v>96</v>
      </c>
      <c r="F2" s="40" t="s">
        <v>97</v>
      </c>
      <c r="G2" s="40" t="s">
        <v>179</v>
      </c>
      <c r="H2" s="40" t="s">
        <v>98</v>
      </c>
      <c r="I2" s="40" t="s">
        <v>99</v>
      </c>
      <c r="J2" s="40" t="s">
        <v>100</v>
      </c>
      <c r="K2" s="41" t="s">
        <v>88</v>
      </c>
      <c r="L2" s="40" t="s">
        <v>87</v>
      </c>
      <c r="M2" s="40" t="s">
        <v>101</v>
      </c>
      <c r="N2" s="39" t="s">
        <v>102</v>
      </c>
      <c r="O2" s="40" t="s">
        <v>103</v>
      </c>
      <c r="P2" s="40" t="s">
        <v>104</v>
      </c>
      <c r="Q2" s="40" t="s">
        <v>735</v>
      </c>
      <c r="R2" s="40" t="s">
        <v>736</v>
      </c>
      <c r="S2" s="40" t="s">
        <v>85</v>
      </c>
    </row>
    <row r="3" spans="1:19">
      <c r="A3" s="192">
        <v>1</v>
      </c>
      <c r="B3" s="190">
        <v>44623</v>
      </c>
      <c r="C3" s="191" t="s">
        <v>713</v>
      </c>
      <c r="D3" s="191" t="s">
        <v>109</v>
      </c>
      <c r="E3" s="191" t="s">
        <v>110</v>
      </c>
      <c r="F3" s="192" t="s">
        <v>106</v>
      </c>
      <c r="G3" s="192" t="s">
        <v>58</v>
      </c>
      <c r="H3" s="192">
        <v>13800</v>
      </c>
      <c r="I3" s="192">
        <v>13800</v>
      </c>
      <c r="J3" s="192">
        <f t="shared" ref="J3:J34" si="0">H3-I3</f>
        <v>0</v>
      </c>
      <c r="K3" s="193">
        <v>0.5</v>
      </c>
      <c r="L3" s="192">
        <f t="shared" ref="L3:L46" si="1">I3*K3</f>
        <v>6900</v>
      </c>
      <c r="M3" s="192">
        <f t="shared" ref="M3:M34" si="2">J3*K3</f>
        <v>0</v>
      </c>
      <c r="N3" s="190">
        <v>44624</v>
      </c>
      <c r="O3" s="191" t="s">
        <v>113</v>
      </c>
      <c r="P3" s="191" t="s">
        <v>734</v>
      </c>
      <c r="Q3" s="191" t="b">
        <v>1</v>
      </c>
      <c r="R3" s="191" t="s">
        <v>737</v>
      </c>
      <c r="S3" s="192" t="s">
        <v>230</v>
      </c>
    </row>
    <row r="4" spans="1:19">
      <c r="A4" s="192">
        <v>1</v>
      </c>
      <c r="B4" s="190">
        <v>44623</v>
      </c>
      <c r="C4" s="191" t="s">
        <v>713</v>
      </c>
      <c r="D4" s="191" t="s">
        <v>109</v>
      </c>
      <c r="E4" s="191" t="s">
        <v>110</v>
      </c>
      <c r="F4" s="192" t="s">
        <v>111</v>
      </c>
      <c r="G4" s="191" t="s">
        <v>82</v>
      </c>
      <c r="H4" s="192">
        <v>880</v>
      </c>
      <c r="I4" s="192">
        <v>880</v>
      </c>
      <c r="J4" s="192">
        <f t="shared" si="0"/>
        <v>0</v>
      </c>
      <c r="K4" s="193">
        <v>0.5</v>
      </c>
      <c r="L4" s="192">
        <f t="shared" si="1"/>
        <v>440</v>
      </c>
      <c r="M4" s="192">
        <f t="shared" si="2"/>
        <v>0</v>
      </c>
      <c r="N4" s="190">
        <v>44624</v>
      </c>
      <c r="O4" s="191" t="s">
        <v>113</v>
      </c>
      <c r="P4" s="191" t="s">
        <v>734</v>
      </c>
      <c r="Q4" s="191" t="b">
        <v>1</v>
      </c>
      <c r="R4" s="191" t="s">
        <v>737</v>
      </c>
      <c r="S4" s="192" t="s">
        <v>230</v>
      </c>
    </row>
    <row r="5" spans="1:19">
      <c r="A5" s="192">
        <v>2</v>
      </c>
      <c r="B5" s="190">
        <v>44624</v>
      </c>
      <c r="C5" s="192" t="s">
        <v>493</v>
      </c>
      <c r="D5" s="192" t="s">
        <v>708</v>
      </c>
      <c r="E5" s="191" t="s">
        <v>139</v>
      </c>
      <c r="F5" s="191" t="s">
        <v>106</v>
      </c>
      <c r="G5" s="191" t="s">
        <v>58</v>
      </c>
      <c r="H5" s="192">
        <v>16800</v>
      </c>
      <c r="I5" s="192">
        <v>16800</v>
      </c>
      <c r="J5" s="192">
        <f t="shared" si="0"/>
        <v>0</v>
      </c>
      <c r="K5" s="193">
        <v>0.375</v>
      </c>
      <c r="L5" s="192">
        <f t="shared" si="1"/>
        <v>6300</v>
      </c>
      <c r="M5" s="192">
        <f t="shared" si="2"/>
        <v>0</v>
      </c>
      <c r="N5" s="190">
        <v>44627</v>
      </c>
      <c r="O5" s="191" t="s">
        <v>220</v>
      </c>
      <c r="P5" s="191" t="s">
        <v>231</v>
      </c>
      <c r="Q5" s="191"/>
      <c r="R5" s="191"/>
      <c r="S5" s="192"/>
    </row>
    <row r="6" spans="1:19">
      <c r="A6" s="192">
        <v>2</v>
      </c>
      <c r="B6" s="190">
        <v>44624</v>
      </c>
      <c r="C6" s="192" t="s">
        <v>493</v>
      </c>
      <c r="D6" s="192" t="s">
        <v>708</v>
      </c>
      <c r="E6" s="191" t="s">
        <v>139</v>
      </c>
      <c r="F6" s="191" t="s">
        <v>111</v>
      </c>
      <c r="G6" s="191" t="s">
        <v>79</v>
      </c>
      <c r="H6" s="192">
        <v>3980</v>
      </c>
      <c r="I6" s="192">
        <v>3980</v>
      </c>
      <c r="J6" s="192">
        <f t="shared" si="0"/>
        <v>0</v>
      </c>
      <c r="K6" s="193">
        <v>0.375</v>
      </c>
      <c r="L6" s="192">
        <f t="shared" si="1"/>
        <v>1492.5</v>
      </c>
      <c r="M6" s="192">
        <f t="shared" si="2"/>
        <v>0</v>
      </c>
      <c r="N6" s="190">
        <v>44627</v>
      </c>
      <c r="O6" s="191" t="s">
        <v>220</v>
      </c>
      <c r="P6" s="191" t="s">
        <v>231</v>
      </c>
      <c r="Q6" s="191"/>
      <c r="R6" s="191"/>
      <c r="S6" s="192"/>
    </row>
    <row r="7" spans="1:19">
      <c r="A7" s="192">
        <v>2</v>
      </c>
      <c r="B7" s="190">
        <v>44625</v>
      </c>
      <c r="C7" s="192" t="s">
        <v>493</v>
      </c>
      <c r="D7" s="192" t="s">
        <v>708</v>
      </c>
      <c r="E7" s="191" t="s">
        <v>24</v>
      </c>
      <c r="F7" s="191" t="s">
        <v>106</v>
      </c>
      <c r="G7" s="191" t="s">
        <v>58</v>
      </c>
      <c r="H7" s="192">
        <v>13800</v>
      </c>
      <c r="I7" s="192">
        <v>13800</v>
      </c>
      <c r="J7" s="192">
        <f t="shared" si="0"/>
        <v>0</v>
      </c>
      <c r="K7" s="193">
        <v>0.375</v>
      </c>
      <c r="L7" s="192">
        <f t="shared" si="1"/>
        <v>5175</v>
      </c>
      <c r="M7" s="192">
        <f t="shared" si="2"/>
        <v>0</v>
      </c>
      <c r="N7" s="190">
        <v>44627</v>
      </c>
      <c r="O7" s="191" t="s">
        <v>220</v>
      </c>
      <c r="P7" s="191" t="s">
        <v>231</v>
      </c>
      <c r="Q7" s="191"/>
      <c r="R7" s="191"/>
      <c r="S7" s="192"/>
    </row>
    <row r="8" spans="1:19">
      <c r="A8" s="192">
        <v>2</v>
      </c>
      <c r="B8" s="190">
        <v>44625</v>
      </c>
      <c r="C8" s="192" t="s">
        <v>493</v>
      </c>
      <c r="D8" s="192" t="s">
        <v>708</v>
      </c>
      <c r="E8" s="191" t="s">
        <v>24</v>
      </c>
      <c r="F8" s="191" t="s">
        <v>111</v>
      </c>
      <c r="G8" s="191" t="s">
        <v>78</v>
      </c>
      <c r="H8" s="192">
        <v>1860</v>
      </c>
      <c r="I8" s="192">
        <v>1860</v>
      </c>
      <c r="J8" s="192">
        <f t="shared" si="0"/>
        <v>0</v>
      </c>
      <c r="K8" s="193">
        <v>0.375</v>
      </c>
      <c r="L8" s="192">
        <f t="shared" si="1"/>
        <v>697.5</v>
      </c>
      <c r="M8" s="192">
        <f t="shared" si="2"/>
        <v>0</v>
      </c>
      <c r="N8" s="190">
        <v>44627</v>
      </c>
      <c r="O8" s="191" t="s">
        <v>220</v>
      </c>
      <c r="P8" s="191" t="s">
        <v>231</v>
      </c>
      <c r="Q8" s="191"/>
      <c r="R8" s="191"/>
      <c r="S8" s="192"/>
    </row>
    <row r="9" spans="1:19">
      <c r="A9" s="192">
        <v>2</v>
      </c>
      <c r="B9" s="190">
        <v>44625</v>
      </c>
      <c r="C9" s="192" t="s">
        <v>493</v>
      </c>
      <c r="D9" s="192" t="s">
        <v>708</v>
      </c>
      <c r="E9" s="191" t="s">
        <v>142</v>
      </c>
      <c r="F9" s="191" t="s">
        <v>106</v>
      </c>
      <c r="G9" s="191" t="s">
        <v>143</v>
      </c>
      <c r="H9" s="192">
        <v>29800</v>
      </c>
      <c r="I9" s="192">
        <v>28000</v>
      </c>
      <c r="J9" s="192">
        <f t="shared" si="0"/>
        <v>1800</v>
      </c>
      <c r="K9" s="193">
        <v>0.375</v>
      </c>
      <c r="L9" s="192">
        <f t="shared" si="1"/>
        <v>10500</v>
      </c>
      <c r="M9" s="192">
        <f t="shared" si="2"/>
        <v>675</v>
      </c>
      <c r="N9" s="190">
        <v>44627</v>
      </c>
      <c r="O9" s="191" t="s">
        <v>220</v>
      </c>
      <c r="P9" s="191" t="s">
        <v>231</v>
      </c>
      <c r="Q9" s="191"/>
      <c r="R9" s="191"/>
      <c r="S9" s="192"/>
    </row>
    <row r="10" spans="1:19">
      <c r="A10" s="192">
        <v>2</v>
      </c>
      <c r="B10" s="190">
        <v>44625</v>
      </c>
      <c r="C10" s="192" t="s">
        <v>493</v>
      </c>
      <c r="D10" s="192" t="s">
        <v>708</v>
      </c>
      <c r="E10" s="191" t="s">
        <v>144</v>
      </c>
      <c r="F10" s="191" t="s">
        <v>106</v>
      </c>
      <c r="G10" s="191" t="s">
        <v>143</v>
      </c>
      <c r="H10" s="192">
        <v>16800</v>
      </c>
      <c r="I10" s="192">
        <v>16800</v>
      </c>
      <c r="J10" s="192">
        <f t="shared" si="0"/>
        <v>0</v>
      </c>
      <c r="K10" s="193">
        <v>0.375</v>
      </c>
      <c r="L10" s="192">
        <f t="shared" si="1"/>
        <v>6300</v>
      </c>
      <c r="M10" s="192">
        <f t="shared" si="2"/>
        <v>0</v>
      </c>
      <c r="N10" s="190">
        <v>44627</v>
      </c>
      <c r="O10" s="191" t="s">
        <v>220</v>
      </c>
      <c r="P10" s="191" t="s">
        <v>231</v>
      </c>
      <c r="Q10" s="191"/>
      <c r="R10" s="191"/>
      <c r="S10" s="192"/>
    </row>
    <row r="11" spans="1:19">
      <c r="A11" s="192">
        <v>2</v>
      </c>
      <c r="B11" s="190">
        <v>44625</v>
      </c>
      <c r="C11" s="192" t="s">
        <v>493</v>
      </c>
      <c r="D11" s="192" t="s">
        <v>708</v>
      </c>
      <c r="E11" s="191" t="s">
        <v>144</v>
      </c>
      <c r="F11" s="191" t="s">
        <v>111</v>
      </c>
      <c r="G11" s="191" t="s">
        <v>145</v>
      </c>
      <c r="H11" s="192">
        <v>3980</v>
      </c>
      <c r="I11" s="192">
        <v>3980</v>
      </c>
      <c r="J11" s="192">
        <f t="shared" si="0"/>
        <v>0</v>
      </c>
      <c r="K11" s="193">
        <v>0.375</v>
      </c>
      <c r="L11" s="192">
        <f t="shared" si="1"/>
        <v>1492.5</v>
      </c>
      <c r="M11" s="192">
        <f t="shared" si="2"/>
        <v>0</v>
      </c>
      <c r="N11" s="190">
        <v>44627</v>
      </c>
      <c r="O11" s="191" t="s">
        <v>220</v>
      </c>
      <c r="P11" s="191" t="s">
        <v>231</v>
      </c>
      <c r="Q11" s="191"/>
      <c r="R11" s="191"/>
      <c r="S11" s="192"/>
    </row>
    <row r="12" spans="1:19">
      <c r="A12" s="192">
        <v>2</v>
      </c>
      <c r="B12" s="190">
        <v>44626</v>
      </c>
      <c r="C12" s="192" t="s">
        <v>493</v>
      </c>
      <c r="D12" s="192" t="s">
        <v>709</v>
      </c>
      <c r="E12" s="191" t="s">
        <v>146</v>
      </c>
      <c r="F12" s="191" t="s">
        <v>111</v>
      </c>
      <c r="G12" s="191" t="s">
        <v>147</v>
      </c>
      <c r="H12" s="192">
        <v>7740</v>
      </c>
      <c r="I12" s="192">
        <v>7740</v>
      </c>
      <c r="J12" s="192">
        <f t="shared" si="0"/>
        <v>0</v>
      </c>
      <c r="K12" s="193">
        <v>0.375</v>
      </c>
      <c r="L12" s="192">
        <f t="shared" si="1"/>
        <v>2902.5</v>
      </c>
      <c r="M12" s="192">
        <f t="shared" si="2"/>
        <v>0</v>
      </c>
      <c r="N12" s="190">
        <v>44627</v>
      </c>
      <c r="O12" s="191" t="s">
        <v>220</v>
      </c>
      <c r="P12" s="191" t="s">
        <v>231</v>
      </c>
      <c r="Q12" s="191"/>
      <c r="R12" s="191"/>
      <c r="S12" s="192"/>
    </row>
    <row r="13" spans="1:19">
      <c r="A13" s="192">
        <v>2</v>
      </c>
      <c r="B13" s="190">
        <v>44626</v>
      </c>
      <c r="C13" s="192" t="s">
        <v>493</v>
      </c>
      <c r="D13" s="192" t="s">
        <v>709</v>
      </c>
      <c r="E13" s="191" t="s">
        <v>148</v>
      </c>
      <c r="F13" s="191" t="s">
        <v>106</v>
      </c>
      <c r="G13" s="191" t="s">
        <v>107</v>
      </c>
      <c r="H13" s="192">
        <v>39800</v>
      </c>
      <c r="I13" s="192">
        <v>39800</v>
      </c>
      <c r="J13" s="192">
        <f t="shared" si="0"/>
        <v>0</v>
      </c>
      <c r="K13" s="193">
        <v>0.375</v>
      </c>
      <c r="L13" s="192">
        <f t="shared" si="1"/>
        <v>14925</v>
      </c>
      <c r="M13" s="192">
        <f t="shared" si="2"/>
        <v>0</v>
      </c>
      <c r="N13" s="190">
        <v>44627</v>
      </c>
      <c r="O13" s="191" t="s">
        <v>220</v>
      </c>
      <c r="P13" s="191" t="s">
        <v>231</v>
      </c>
      <c r="Q13" s="191"/>
      <c r="R13" s="191"/>
      <c r="S13" s="192"/>
    </row>
    <row r="14" spans="1:19" ht="15.6" customHeight="1">
      <c r="A14" s="192">
        <v>3</v>
      </c>
      <c r="B14" s="190">
        <v>44627</v>
      </c>
      <c r="C14" s="192" t="s">
        <v>711</v>
      </c>
      <c r="D14" s="192" t="s">
        <v>710</v>
      </c>
      <c r="E14" s="191" t="s">
        <v>149</v>
      </c>
      <c r="F14" s="191" t="s">
        <v>111</v>
      </c>
      <c r="G14" s="191" t="s">
        <v>150</v>
      </c>
      <c r="H14" s="192">
        <v>13800</v>
      </c>
      <c r="I14" s="192">
        <v>13800</v>
      </c>
      <c r="J14" s="192">
        <f t="shared" si="0"/>
        <v>0</v>
      </c>
      <c r="K14" s="193">
        <v>0.45</v>
      </c>
      <c r="L14" s="192">
        <f t="shared" si="1"/>
        <v>6210</v>
      </c>
      <c r="M14" s="192">
        <f t="shared" si="2"/>
        <v>0</v>
      </c>
      <c r="N14" s="190">
        <v>44632</v>
      </c>
      <c r="O14" s="191" t="s">
        <v>232</v>
      </c>
      <c r="P14" s="191" t="s">
        <v>231</v>
      </c>
      <c r="Q14" s="191"/>
      <c r="R14" s="191"/>
      <c r="S14" s="192"/>
    </row>
    <row r="15" spans="1:19">
      <c r="A15" s="192">
        <v>4</v>
      </c>
      <c r="B15" s="190">
        <v>44629</v>
      </c>
      <c r="C15" s="192" t="s">
        <v>493</v>
      </c>
      <c r="D15" s="192" t="s">
        <v>708</v>
      </c>
      <c r="E15" s="191" t="s">
        <v>151</v>
      </c>
      <c r="F15" s="191" t="s">
        <v>106</v>
      </c>
      <c r="G15" s="191" t="s">
        <v>58</v>
      </c>
      <c r="H15" s="192">
        <v>29800</v>
      </c>
      <c r="I15" s="192">
        <v>29800</v>
      </c>
      <c r="J15" s="192">
        <f t="shared" si="0"/>
        <v>0</v>
      </c>
      <c r="K15" s="193">
        <v>0.375</v>
      </c>
      <c r="L15" s="192">
        <f t="shared" si="1"/>
        <v>11175</v>
      </c>
      <c r="M15" s="192">
        <f t="shared" si="2"/>
        <v>0</v>
      </c>
      <c r="N15" s="190">
        <v>44630</v>
      </c>
      <c r="O15" s="191" t="s">
        <v>220</v>
      </c>
      <c r="P15" s="191" t="s">
        <v>734</v>
      </c>
      <c r="Q15" s="191" t="b">
        <v>1</v>
      </c>
      <c r="R15" s="191" t="s">
        <v>737</v>
      </c>
      <c r="S15" s="192" t="s">
        <v>230</v>
      </c>
    </row>
    <row r="16" spans="1:19">
      <c r="A16" s="192">
        <v>4</v>
      </c>
      <c r="B16" s="190">
        <v>44629</v>
      </c>
      <c r="C16" s="192" t="s">
        <v>493</v>
      </c>
      <c r="D16" s="192" t="s">
        <v>708</v>
      </c>
      <c r="E16" s="191" t="s">
        <v>151</v>
      </c>
      <c r="F16" s="191" t="s">
        <v>111</v>
      </c>
      <c r="G16" s="191" t="s">
        <v>153</v>
      </c>
      <c r="H16" s="192">
        <v>6880</v>
      </c>
      <c r="I16" s="192">
        <v>6880</v>
      </c>
      <c r="J16" s="192">
        <f t="shared" si="0"/>
        <v>0</v>
      </c>
      <c r="K16" s="193">
        <v>0.375</v>
      </c>
      <c r="L16" s="192">
        <f t="shared" si="1"/>
        <v>2580</v>
      </c>
      <c r="M16" s="192">
        <f t="shared" si="2"/>
        <v>0</v>
      </c>
      <c r="N16" s="190">
        <v>44630</v>
      </c>
      <c r="O16" s="191" t="s">
        <v>220</v>
      </c>
      <c r="P16" s="191" t="s">
        <v>734</v>
      </c>
      <c r="Q16" s="191" t="b">
        <v>1</v>
      </c>
      <c r="R16" s="191" t="s">
        <v>737</v>
      </c>
      <c r="S16" s="192" t="s">
        <v>230</v>
      </c>
    </row>
    <row r="17" spans="1:19">
      <c r="A17" s="192">
        <v>4</v>
      </c>
      <c r="B17" s="190">
        <v>44629</v>
      </c>
      <c r="C17" s="192" t="s">
        <v>493</v>
      </c>
      <c r="D17" s="192" t="s">
        <v>708</v>
      </c>
      <c r="E17" s="191" t="s">
        <v>151</v>
      </c>
      <c r="F17" s="191" t="s">
        <v>152</v>
      </c>
      <c r="G17" s="191" t="s">
        <v>29</v>
      </c>
      <c r="H17" s="192">
        <v>3120</v>
      </c>
      <c r="I17" s="192">
        <v>3120</v>
      </c>
      <c r="J17" s="192">
        <f t="shared" si="0"/>
        <v>0</v>
      </c>
      <c r="K17" s="193">
        <v>0.375</v>
      </c>
      <c r="L17" s="192">
        <f t="shared" si="1"/>
        <v>1170</v>
      </c>
      <c r="M17" s="192">
        <f t="shared" si="2"/>
        <v>0</v>
      </c>
      <c r="N17" s="190">
        <v>44630</v>
      </c>
      <c r="O17" s="191" t="s">
        <v>220</v>
      </c>
      <c r="P17" s="191" t="s">
        <v>734</v>
      </c>
      <c r="Q17" s="191" t="b">
        <v>1</v>
      </c>
      <c r="R17" s="191" t="s">
        <v>737</v>
      </c>
      <c r="S17" s="192" t="s">
        <v>230</v>
      </c>
    </row>
    <row r="18" spans="1:19">
      <c r="A18" s="192">
        <v>5</v>
      </c>
      <c r="B18" s="190">
        <v>44630</v>
      </c>
      <c r="C18" s="192" t="s">
        <v>644</v>
      </c>
      <c r="D18" s="192" t="s">
        <v>712</v>
      </c>
      <c r="E18" s="191" t="s">
        <v>154</v>
      </c>
      <c r="F18" s="191" t="s">
        <v>106</v>
      </c>
      <c r="G18" s="191" t="s">
        <v>155</v>
      </c>
      <c r="H18" s="192">
        <v>2980</v>
      </c>
      <c r="I18" s="192">
        <v>2980</v>
      </c>
      <c r="J18" s="192">
        <f t="shared" si="0"/>
        <v>0</v>
      </c>
      <c r="K18" s="193">
        <v>0.5</v>
      </c>
      <c r="L18" s="192">
        <f t="shared" si="1"/>
        <v>1490</v>
      </c>
      <c r="M18" s="192">
        <f t="shared" si="2"/>
        <v>0</v>
      </c>
      <c r="N18" s="190">
        <v>44634</v>
      </c>
      <c r="O18" s="191" t="s">
        <v>233</v>
      </c>
      <c r="P18" s="191" t="s">
        <v>231</v>
      </c>
      <c r="Q18" s="191"/>
      <c r="R18" s="191"/>
      <c r="S18" s="192"/>
    </row>
    <row r="19" spans="1:19">
      <c r="A19" s="192">
        <v>6</v>
      </c>
      <c r="B19" s="190">
        <v>44631</v>
      </c>
      <c r="C19" s="192" t="s">
        <v>493</v>
      </c>
      <c r="D19" s="192" t="s">
        <v>708</v>
      </c>
      <c r="E19" s="191" t="s">
        <v>131</v>
      </c>
      <c r="F19" s="191" t="s">
        <v>106</v>
      </c>
      <c r="G19" s="191" t="s">
        <v>143</v>
      </c>
      <c r="H19" s="192">
        <v>19800</v>
      </c>
      <c r="I19" s="192">
        <v>19800</v>
      </c>
      <c r="J19" s="192">
        <f t="shared" si="0"/>
        <v>0</v>
      </c>
      <c r="K19" s="193">
        <v>0.375</v>
      </c>
      <c r="L19" s="192">
        <f t="shared" si="1"/>
        <v>7425</v>
      </c>
      <c r="M19" s="192">
        <f t="shared" si="2"/>
        <v>0</v>
      </c>
      <c r="N19" s="190">
        <v>44632</v>
      </c>
      <c r="O19" s="191" t="s">
        <v>220</v>
      </c>
      <c r="P19" s="191" t="s">
        <v>734</v>
      </c>
      <c r="Q19" s="191" t="b">
        <v>1</v>
      </c>
      <c r="R19" s="191" t="s">
        <v>737</v>
      </c>
      <c r="S19" s="192" t="s">
        <v>230</v>
      </c>
    </row>
    <row r="20" spans="1:19">
      <c r="A20" s="192">
        <v>6</v>
      </c>
      <c r="B20" s="190">
        <v>44631</v>
      </c>
      <c r="C20" s="192" t="s">
        <v>493</v>
      </c>
      <c r="D20" s="192" t="s">
        <v>708</v>
      </c>
      <c r="E20" s="191" t="s">
        <v>131</v>
      </c>
      <c r="F20" s="191" t="s">
        <v>111</v>
      </c>
      <c r="G20" s="191" t="s">
        <v>156</v>
      </c>
      <c r="H20" s="192">
        <v>8258</v>
      </c>
      <c r="I20" s="192">
        <v>8258</v>
      </c>
      <c r="J20" s="192">
        <f t="shared" si="0"/>
        <v>0</v>
      </c>
      <c r="K20" s="193">
        <v>0.375</v>
      </c>
      <c r="L20" s="192">
        <f t="shared" si="1"/>
        <v>3096.75</v>
      </c>
      <c r="M20" s="192">
        <f t="shared" si="2"/>
        <v>0</v>
      </c>
      <c r="N20" s="190">
        <v>44632</v>
      </c>
      <c r="O20" s="191" t="s">
        <v>220</v>
      </c>
      <c r="P20" s="191" t="s">
        <v>734</v>
      </c>
      <c r="Q20" s="191" t="b">
        <v>1</v>
      </c>
      <c r="R20" s="191" t="s">
        <v>737</v>
      </c>
      <c r="S20" s="192" t="s">
        <v>230</v>
      </c>
    </row>
    <row r="21" spans="1:19">
      <c r="A21" s="192">
        <v>6</v>
      </c>
      <c r="B21" s="190">
        <v>44631</v>
      </c>
      <c r="C21" s="192" t="s">
        <v>493</v>
      </c>
      <c r="D21" s="192" t="s">
        <v>708</v>
      </c>
      <c r="E21" s="191" t="s">
        <v>131</v>
      </c>
      <c r="F21" s="191" t="s">
        <v>152</v>
      </c>
      <c r="G21" s="191" t="s">
        <v>157</v>
      </c>
      <c r="H21" s="192">
        <v>1742</v>
      </c>
      <c r="I21" s="192">
        <v>1742</v>
      </c>
      <c r="J21" s="192">
        <f t="shared" si="0"/>
        <v>0</v>
      </c>
      <c r="K21" s="193">
        <v>0.375</v>
      </c>
      <c r="L21" s="192">
        <f t="shared" si="1"/>
        <v>653.25</v>
      </c>
      <c r="M21" s="192">
        <f t="shared" si="2"/>
        <v>0</v>
      </c>
      <c r="N21" s="190">
        <v>44632</v>
      </c>
      <c r="O21" s="191" t="s">
        <v>220</v>
      </c>
      <c r="P21" s="191" t="s">
        <v>734</v>
      </c>
      <c r="Q21" s="191" t="b">
        <v>1</v>
      </c>
      <c r="R21" s="191" t="s">
        <v>737</v>
      </c>
      <c r="S21" s="192" t="s">
        <v>230</v>
      </c>
    </row>
    <row r="22" spans="1:19">
      <c r="A22" s="192">
        <v>6</v>
      </c>
      <c r="B22" s="190">
        <v>44631</v>
      </c>
      <c r="C22" s="192" t="s">
        <v>493</v>
      </c>
      <c r="D22" s="192" t="s">
        <v>708</v>
      </c>
      <c r="E22" s="191" t="s">
        <v>158</v>
      </c>
      <c r="F22" s="191" t="s">
        <v>106</v>
      </c>
      <c r="G22" s="191" t="s">
        <v>61</v>
      </c>
      <c r="H22" s="192">
        <v>39800</v>
      </c>
      <c r="I22" s="192">
        <v>39800</v>
      </c>
      <c r="J22" s="192">
        <f t="shared" si="0"/>
        <v>0</v>
      </c>
      <c r="K22" s="193">
        <v>0.375</v>
      </c>
      <c r="L22" s="192">
        <f t="shared" si="1"/>
        <v>14925</v>
      </c>
      <c r="M22" s="192">
        <f t="shared" si="2"/>
        <v>0</v>
      </c>
      <c r="N22" s="190">
        <v>44632</v>
      </c>
      <c r="O22" s="191" t="s">
        <v>220</v>
      </c>
      <c r="P22" s="191" t="s">
        <v>734</v>
      </c>
      <c r="Q22" s="191" t="b">
        <v>1</v>
      </c>
      <c r="R22" s="191" t="s">
        <v>737</v>
      </c>
      <c r="S22" s="192" t="s">
        <v>230</v>
      </c>
    </row>
    <row r="23" spans="1:19">
      <c r="A23" s="192">
        <v>6</v>
      </c>
      <c r="B23" s="190">
        <v>44631</v>
      </c>
      <c r="C23" s="192" t="s">
        <v>493</v>
      </c>
      <c r="D23" s="192" t="s">
        <v>708</v>
      </c>
      <c r="E23" s="191" t="s">
        <v>158</v>
      </c>
      <c r="F23" s="191" t="s">
        <v>111</v>
      </c>
      <c r="G23" s="191" t="s">
        <v>60</v>
      </c>
      <c r="H23" s="192">
        <v>3980</v>
      </c>
      <c r="I23" s="192">
        <v>3980</v>
      </c>
      <c r="J23" s="192">
        <f t="shared" si="0"/>
        <v>0</v>
      </c>
      <c r="K23" s="193">
        <v>0.375</v>
      </c>
      <c r="L23" s="192">
        <f t="shared" si="1"/>
        <v>1492.5</v>
      </c>
      <c r="M23" s="192">
        <f t="shared" si="2"/>
        <v>0</v>
      </c>
      <c r="N23" s="190">
        <v>44632</v>
      </c>
      <c r="O23" s="191" t="s">
        <v>220</v>
      </c>
      <c r="P23" s="191" t="s">
        <v>734</v>
      </c>
      <c r="Q23" s="191" t="b">
        <v>1</v>
      </c>
      <c r="R23" s="191" t="s">
        <v>737</v>
      </c>
      <c r="S23" s="192" t="s">
        <v>230</v>
      </c>
    </row>
    <row r="24" spans="1:19">
      <c r="A24" s="192">
        <v>6</v>
      </c>
      <c r="B24" s="190">
        <v>44631</v>
      </c>
      <c r="C24" s="192" t="s">
        <v>493</v>
      </c>
      <c r="D24" s="192" t="s">
        <v>708</v>
      </c>
      <c r="E24" s="191" t="s">
        <v>159</v>
      </c>
      <c r="F24" s="191" t="s">
        <v>106</v>
      </c>
      <c r="G24" s="191" t="s">
        <v>143</v>
      </c>
      <c r="H24" s="192">
        <v>19800</v>
      </c>
      <c r="I24" s="192">
        <v>19800</v>
      </c>
      <c r="J24" s="192">
        <f t="shared" si="0"/>
        <v>0</v>
      </c>
      <c r="K24" s="193">
        <v>0.375</v>
      </c>
      <c r="L24" s="192">
        <f t="shared" si="1"/>
        <v>7425</v>
      </c>
      <c r="M24" s="192">
        <f t="shared" si="2"/>
        <v>0</v>
      </c>
      <c r="N24" s="190">
        <v>44632</v>
      </c>
      <c r="O24" s="191" t="s">
        <v>220</v>
      </c>
      <c r="P24" s="191" t="s">
        <v>734</v>
      </c>
      <c r="Q24" s="191" t="b">
        <v>1</v>
      </c>
      <c r="R24" s="191" t="s">
        <v>737</v>
      </c>
      <c r="S24" s="192" t="s">
        <v>230</v>
      </c>
    </row>
    <row r="25" spans="1:19">
      <c r="A25" s="192">
        <v>6</v>
      </c>
      <c r="B25" s="190">
        <v>44631</v>
      </c>
      <c r="C25" s="192" t="s">
        <v>493</v>
      </c>
      <c r="D25" s="192" t="s">
        <v>708</v>
      </c>
      <c r="E25" s="191" t="s">
        <v>159</v>
      </c>
      <c r="F25" s="191" t="s">
        <v>111</v>
      </c>
      <c r="G25" s="191" t="s">
        <v>57</v>
      </c>
      <c r="H25" s="192">
        <v>3980</v>
      </c>
      <c r="I25" s="192">
        <v>3980</v>
      </c>
      <c r="J25" s="192">
        <f t="shared" si="0"/>
        <v>0</v>
      </c>
      <c r="K25" s="193">
        <v>0.375</v>
      </c>
      <c r="L25" s="192">
        <f t="shared" si="1"/>
        <v>1492.5</v>
      </c>
      <c r="M25" s="192">
        <f t="shared" si="2"/>
        <v>0</v>
      </c>
      <c r="N25" s="190">
        <v>44632</v>
      </c>
      <c r="O25" s="191" t="s">
        <v>220</v>
      </c>
      <c r="P25" s="191" t="s">
        <v>734</v>
      </c>
      <c r="Q25" s="191" t="b">
        <v>1</v>
      </c>
      <c r="R25" s="191" t="s">
        <v>737</v>
      </c>
      <c r="S25" s="192" t="s">
        <v>230</v>
      </c>
    </row>
    <row r="26" spans="1:19">
      <c r="A26" s="192">
        <v>6</v>
      </c>
      <c r="B26" s="190">
        <v>44631</v>
      </c>
      <c r="C26" s="192" t="s">
        <v>493</v>
      </c>
      <c r="D26" s="192" t="s">
        <v>708</v>
      </c>
      <c r="E26" s="191" t="s">
        <v>151</v>
      </c>
      <c r="F26" s="191" t="s">
        <v>160</v>
      </c>
      <c r="G26" s="191" t="s">
        <v>161</v>
      </c>
      <c r="H26" s="192">
        <v>-39800</v>
      </c>
      <c r="I26" s="192">
        <v>-39800</v>
      </c>
      <c r="J26" s="192">
        <f t="shared" si="0"/>
        <v>0</v>
      </c>
      <c r="K26" s="193">
        <v>0.375</v>
      </c>
      <c r="L26" s="192">
        <f t="shared" si="1"/>
        <v>-14925</v>
      </c>
      <c r="M26" s="192">
        <f t="shared" si="2"/>
        <v>0</v>
      </c>
      <c r="N26" s="190">
        <v>44632</v>
      </c>
      <c r="O26" s="191" t="s">
        <v>220</v>
      </c>
      <c r="P26" s="191" t="s">
        <v>734</v>
      </c>
      <c r="Q26" s="191" t="b">
        <v>1</v>
      </c>
      <c r="R26" s="191" t="s">
        <v>737</v>
      </c>
      <c r="S26" s="192" t="s">
        <v>230</v>
      </c>
    </row>
    <row r="27" spans="1:19">
      <c r="A27" s="192">
        <v>7</v>
      </c>
      <c r="B27" s="190">
        <v>44632</v>
      </c>
      <c r="C27" s="192" t="s">
        <v>493</v>
      </c>
      <c r="D27" s="192" t="s">
        <v>716</v>
      </c>
      <c r="E27" s="191" t="s">
        <v>162</v>
      </c>
      <c r="F27" s="191" t="s">
        <v>106</v>
      </c>
      <c r="G27" s="191" t="s">
        <v>52</v>
      </c>
      <c r="H27" s="192">
        <v>6900</v>
      </c>
      <c r="I27" s="192">
        <v>6900</v>
      </c>
      <c r="J27" s="192">
        <f t="shared" si="0"/>
        <v>0</v>
      </c>
      <c r="K27" s="193">
        <v>0.375</v>
      </c>
      <c r="L27" s="192">
        <f t="shared" si="1"/>
        <v>2587.5</v>
      </c>
      <c r="M27" s="192">
        <f t="shared" si="2"/>
        <v>0</v>
      </c>
      <c r="N27" s="190">
        <v>44636</v>
      </c>
      <c r="O27" s="191" t="s">
        <v>220</v>
      </c>
      <c r="P27" s="191" t="s">
        <v>734</v>
      </c>
      <c r="Q27" s="191" t="b">
        <v>1</v>
      </c>
      <c r="R27" s="191" t="s">
        <v>737</v>
      </c>
      <c r="S27" s="192" t="s">
        <v>230</v>
      </c>
    </row>
    <row r="28" spans="1:19">
      <c r="A28" s="192">
        <v>7</v>
      </c>
      <c r="B28" s="190">
        <v>44632</v>
      </c>
      <c r="C28" s="192" t="s">
        <v>493</v>
      </c>
      <c r="D28" s="192" t="s">
        <v>716</v>
      </c>
      <c r="E28" s="191" t="s">
        <v>162</v>
      </c>
      <c r="F28" s="191" t="s">
        <v>111</v>
      </c>
      <c r="G28" s="191" t="s">
        <v>163</v>
      </c>
      <c r="H28" s="192">
        <v>3980</v>
      </c>
      <c r="I28" s="192">
        <v>3980</v>
      </c>
      <c r="J28" s="192">
        <f t="shared" si="0"/>
        <v>0</v>
      </c>
      <c r="K28" s="193">
        <v>0.375</v>
      </c>
      <c r="L28" s="192">
        <f t="shared" si="1"/>
        <v>1492.5</v>
      </c>
      <c r="M28" s="192">
        <f t="shared" si="2"/>
        <v>0</v>
      </c>
      <c r="N28" s="190">
        <v>44636</v>
      </c>
      <c r="O28" s="191" t="s">
        <v>220</v>
      </c>
      <c r="P28" s="191" t="s">
        <v>734</v>
      </c>
      <c r="Q28" s="191" t="b">
        <v>1</v>
      </c>
      <c r="R28" s="191" t="s">
        <v>737</v>
      </c>
      <c r="S28" s="192" t="s">
        <v>230</v>
      </c>
    </row>
    <row r="29" spans="1:19">
      <c r="A29" s="192">
        <v>7</v>
      </c>
      <c r="B29" s="190">
        <v>44632</v>
      </c>
      <c r="C29" s="192" t="s">
        <v>493</v>
      </c>
      <c r="D29" s="192" t="s">
        <v>716</v>
      </c>
      <c r="E29" s="191" t="s">
        <v>162</v>
      </c>
      <c r="F29" s="191" t="s">
        <v>111</v>
      </c>
      <c r="G29" s="191" t="s">
        <v>49</v>
      </c>
      <c r="H29" s="192">
        <v>880</v>
      </c>
      <c r="I29" s="192">
        <v>880</v>
      </c>
      <c r="J29" s="192">
        <f t="shared" si="0"/>
        <v>0</v>
      </c>
      <c r="K29" s="193">
        <v>0.375</v>
      </c>
      <c r="L29" s="192">
        <f t="shared" si="1"/>
        <v>330</v>
      </c>
      <c r="M29" s="192">
        <f t="shared" si="2"/>
        <v>0</v>
      </c>
      <c r="N29" s="190">
        <v>44636</v>
      </c>
      <c r="O29" s="191" t="s">
        <v>220</v>
      </c>
      <c r="P29" s="191" t="s">
        <v>734</v>
      </c>
      <c r="Q29" s="191" t="b">
        <v>1</v>
      </c>
      <c r="R29" s="191" t="s">
        <v>737</v>
      </c>
      <c r="S29" s="192" t="s">
        <v>230</v>
      </c>
    </row>
    <row r="30" spans="1:19">
      <c r="A30" s="192">
        <v>7</v>
      </c>
      <c r="B30" s="190">
        <v>44632</v>
      </c>
      <c r="C30" s="192" t="s">
        <v>493</v>
      </c>
      <c r="D30" s="192" t="s">
        <v>716</v>
      </c>
      <c r="E30" s="191" t="s">
        <v>120</v>
      </c>
      <c r="F30" s="191" t="s">
        <v>106</v>
      </c>
      <c r="G30" s="191" t="s">
        <v>20</v>
      </c>
      <c r="H30" s="192">
        <v>16900</v>
      </c>
      <c r="I30" s="192">
        <v>16900</v>
      </c>
      <c r="J30" s="192">
        <f t="shared" si="0"/>
        <v>0</v>
      </c>
      <c r="K30" s="193">
        <v>0.375</v>
      </c>
      <c r="L30" s="192">
        <f t="shared" si="1"/>
        <v>6337.5</v>
      </c>
      <c r="M30" s="192">
        <f t="shared" si="2"/>
        <v>0</v>
      </c>
      <c r="N30" s="190">
        <v>44636</v>
      </c>
      <c r="O30" s="191" t="s">
        <v>220</v>
      </c>
      <c r="P30" s="191" t="s">
        <v>734</v>
      </c>
      <c r="Q30" s="191" t="b">
        <v>1</v>
      </c>
      <c r="R30" s="191" t="s">
        <v>737</v>
      </c>
      <c r="S30" s="192" t="s">
        <v>230</v>
      </c>
    </row>
    <row r="31" spans="1:19">
      <c r="A31" s="192">
        <v>7</v>
      </c>
      <c r="B31" s="190">
        <v>44632</v>
      </c>
      <c r="C31" s="192" t="s">
        <v>493</v>
      </c>
      <c r="D31" s="192" t="s">
        <v>716</v>
      </c>
      <c r="E31" s="191" t="s">
        <v>120</v>
      </c>
      <c r="F31" s="191" t="s">
        <v>106</v>
      </c>
      <c r="G31" s="191" t="s">
        <v>47</v>
      </c>
      <c r="H31" s="192">
        <v>4880</v>
      </c>
      <c r="I31" s="192">
        <v>4880</v>
      </c>
      <c r="J31" s="192">
        <f t="shared" si="0"/>
        <v>0</v>
      </c>
      <c r="K31" s="193">
        <v>0.375</v>
      </c>
      <c r="L31" s="192">
        <f t="shared" si="1"/>
        <v>1830</v>
      </c>
      <c r="M31" s="192">
        <f t="shared" si="2"/>
        <v>0</v>
      </c>
      <c r="N31" s="190">
        <v>44636</v>
      </c>
      <c r="O31" s="191" t="s">
        <v>220</v>
      </c>
      <c r="P31" s="191" t="s">
        <v>734</v>
      </c>
      <c r="Q31" s="191" t="b">
        <v>1</v>
      </c>
      <c r="R31" s="191" t="s">
        <v>737</v>
      </c>
      <c r="S31" s="192" t="s">
        <v>230</v>
      </c>
    </row>
    <row r="32" spans="1:19">
      <c r="A32" s="192">
        <v>8</v>
      </c>
      <c r="B32" s="190">
        <v>44633</v>
      </c>
      <c r="C32" s="192" t="s">
        <v>493</v>
      </c>
      <c r="D32" s="192" t="s">
        <v>708</v>
      </c>
      <c r="E32" s="192" t="s">
        <v>46</v>
      </c>
      <c r="F32" s="191" t="s">
        <v>106</v>
      </c>
      <c r="G32" s="191" t="s">
        <v>39</v>
      </c>
      <c r="H32" s="192">
        <v>9900</v>
      </c>
      <c r="I32" s="192">
        <v>9900</v>
      </c>
      <c r="J32" s="192">
        <f t="shared" si="0"/>
        <v>0</v>
      </c>
      <c r="K32" s="193">
        <v>0.375</v>
      </c>
      <c r="L32" s="192">
        <f t="shared" si="1"/>
        <v>3712.5</v>
      </c>
      <c r="M32" s="192">
        <f t="shared" si="2"/>
        <v>0</v>
      </c>
      <c r="N32" s="190">
        <v>44636</v>
      </c>
      <c r="O32" s="191" t="s">
        <v>220</v>
      </c>
      <c r="P32" s="191" t="s">
        <v>734</v>
      </c>
      <c r="Q32" s="191" t="b">
        <v>1</v>
      </c>
      <c r="R32" s="191" t="s">
        <v>737</v>
      </c>
      <c r="S32" s="192" t="s">
        <v>230</v>
      </c>
    </row>
    <row r="33" spans="1:19">
      <c r="A33" s="192">
        <v>8</v>
      </c>
      <c r="B33" s="190">
        <v>44633</v>
      </c>
      <c r="C33" s="192" t="s">
        <v>493</v>
      </c>
      <c r="D33" s="192" t="s">
        <v>708</v>
      </c>
      <c r="E33" s="191" t="s">
        <v>44</v>
      </c>
      <c r="F33" s="191" t="s">
        <v>185</v>
      </c>
      <c r="G33" s="191" t="s">
        <v>184</v>
      </c>
      <c r="H33" s="192">
        <v>0</v>
      </c>
      <c r="I33" s="192">
        <v>1800</v>
      </c>
      <c r="J33" s="192">
        <f t="shared" si="0"/>
        <v>-1800</v>
      </c>
      <c r="K33" s="193">
        <v>0.375</v>
      </c>
      <c r="L33" s="192">
        <f t="shared" si="1"/>
        <v>675</v>
      </c>
      <c r="M33" s="192">
        <f t="shared" si="2"/>
        <v>-675</v>
      </c>
      <c r="N33" s="190">
        <v>44636</v>
      </c>
      <c r="O33" s="191" t="s">
        <v>220</v>
      </c>
      <c r="P33" s="191" t="s">
        <v>734</v>
      </c>
      <c r="Q33" s="191" t="b">
        <v>1</v>
      </c>
      <c r="R33" s="191" t="s">
        <v>737</v>
      </c>
      <c r="S33" s="192" t="s">
        <v>230</v>
      </c>
    </row>
    <row r="34" spans="1:19">
      <c r="A34" s="192">
        <v>8</v>
      </c>
      <c r="B34" s="190">
        <v>44633</v>
      </c>
      <c r="C34" s="192" t="s">
        <v>493</v>
      </c>
      <c r="D34" s="192" t="s">
        <v>708</v>
      </c>
      <c r="E34" s="191" t="s">
        <v>17</v>
      </c>
      <c r="F34" s="191" t="s">
        <v>106</v>
      </c>
      <c r="G34" s="191" t="s">
        <v>41</v>
      </c>
      <c r="H34" s="192">
        <v>19800</v>
      </c>
      <c r="I34" s="192">
        <v>19800</v>
      </c>
      <c r="J34" s="192">
        <f t="shared" si="0"/>
        <v>0</v>
      </c>
      <c r="K34" s="193">
        <v>0.375</v>
      </c>
      <c r="L34" s="192">
        <f t="shared" si="1"/>
        <v>7425</v>
      </c>
      <c r="M34" s="192">
        <f t="shared" si="2"/>
        <v>0</v>
      </c>
      <c r="N34" s="190">
        <v>44636</v>
      </c>
      <c r="O34" s="191" t="s">
        <v>220</v>
      </c>
      <c r="P34" s="191" t="s">
        <v>734</v>
      </c>
      <c r="Q34" s="191" t="b">
        <v>1</v>
      </c>
      <c r="R34" s="191" t="s">
        <v>737</v>
      </c>
      <c r="S34" s="192" t="s">
        <v>230</v>
      </c>
    </row>
    <row r="35" spans="1:19">
      <c r="A35" s="192">
        <v>8</v>
      </c>
      <c r="B35" s="190">
        <v>44633</v>
      </c>
      <c r="C35" s="192" t="s">
        <v>493</v>
      </c>
      <c r="D35" s="192" t="s">
        <v>708</v>
      </c>
      <c r="E35" s="191" t="s">
        <v>40</v>
      </c>
      <c r="F35" s="191" t="s">
        <v>106</v>
      </c>
      <c r="G35" s="191" t="s">
        <v>39</v>
      </c>
      <c r="H35" s="192">
        <v>6900</v>
      </c>
      <c r="I35" s="192">
        <v>6900</v>
      </c>
      <c r="J35" s="192">
        <f t="shared" ref="J35:J66" si="3">H35-I35</f>
        <v>0</v>
      </c>
      <c r="K35" s="193">
        <v>0.375</v>
      </c>
      <c r="L35" s="192">
        <f t="shared" si="1"/>
        <v>2587.5</v>
      </c>
      <c r="M35" s="192">
        <f t="shared" ref="M35:M66" si="4">J35*K35</f>
        <v>0</v>
      </c>
      <c r="N35" s="190">
        <v>44636</v>
      </c>
      <c r="O35" s="191" t="s">
        <v>220</v>
      </c>
      <c r="P35" s="191" t="s">
        <v>734</v>
      </c>
      <c r="Q35" s="191" t="b">
        <v>1</v>
      </c>
      <c r="R35" s="191" t="s">
        <v>737</v>
      </c>
      <c r="S35" s="192" t="s">
        <v>230</v>
      </c>
    </row>
    <row r="36" spans="1:19">
      <c r="A36" s="192">
        <v>8</v>
      </c>
      <c r="B36" s="190">
        <v>44633</v>
      </c>
      <c r="C36" s="192" t="s">
        <v>493</v>
      </c>
      <c r="D36" s="192" t="s">
        <v>708</v>
      </c>
      <c r="E36" s="191" t="s">
        <v>40</v>
      </c>
      <c r="F36" s="191" t="s">
        <v>111</v>
      </c>
      <c r="G36" s="191" t="s">
        <v>189</v>
      </c>
      <c r="H36" s="192">
        <v>428</v>
      </c>
      <c r="I36" s="192">
        <v>428</v>
      </c>
      <c r="J36" s="192">
        <f t="shared" si="3"/>
        <v>0</v>
      </c>
      <c r="K36" s="193">
        <v>0.375</v>
      </c>
      <c r="L36" s="192">
        <f t="shared" si="1"/>
        <v>160.5</v>
      </c>
      <c r="M36" s="192">
        <f t="shared" si="4"/>
        <v>0</v>
      </c>
      <c r="N36" s="190">
        <v>44636</v>
      </c>
      <c r="O36" s="191" t="s">
        <v>220</v>
      </c>
      <c r="P36" s="191" t="s">
        <v>734</v>
      </c>
      <c r="Q36" s="191" t="b">
        <v>1</v>
      </c>
      <c r="R36" s="191" t="s">
        <v>737</v>
      </c>
      <c r="S36" s="192" t="s">
        <v>230</v>
      </c>
    </row>
    <row r="37" spans="1:19">
      <c r="A37" s="192">
        <v>9</v>
      </c>
      <c r="B37" s="190">
        <v>44634</v>
      </c>
      <c r="C37" s="192" t="s">
        <v>713</v>
      </c>
      <c r="D37" s="192"/>
      <c r="E37" s="191" t="s">
        <v>36</v>
      </c>
      <c r="F37" s="191" t="s">
        <v>111</v>
      </c>
      <c r="G37" s="191" t="s">
        <v>192</v>
      </c>
      <c r="H37" s="192">
        <v>3980</v>
      </c>
      <c r="I37" s="192">
        <v>3980</v>
      </c>
      <c r="J37" s="192">
        <f t="shared" si="3"/>
        <v>0</v>
      </c>
      <c r="K37" s="193">
        <v>0.5</v>
      </c>
      <c r="L37" s="192">
        <f t="shared" si="1"/>
        <v>1990</v>
      </c>
      <c r="M37" s="192">
        <f t="shared" si="4"/>
        <v>0</v>
      </c>
      <c r="N37" s="190">
        <v>44638</v>
      </c>
      <c r="O37" s="191" t="s">
        <v>113</v>
      </c>
      <c r="P37" s="191" t="s">
        <v>734</v>
      </c>
      <c r="Q37" s="191" t="b">
        <v>1</v>
      </c>
      <c r="R37" s="191" t="s">
        <v>737</v>
      </c>
      <c r="S37" s="192" t="s">
        <v>230</v>
      </c>
    </row>
    <row r="38" spans="1:19">
      <c r="A38" s="192">
        <v>10</v>
      </c>
      <c r="B38" s="190">
        <v>44643</v>
      </c>
      <c r="C38" s="192" t="s">
        <v>493</v>
      </c>
      <c r="D38" s="192" t="s">
        <v>708</v>
      </c>
      <c r="E38" s="191" t="s">
        <v>34</v>
      </c>
      <c r="F38" s="191" t="s">
        <v>111</v>
      </c>
      <c r="G38" s="191" t="s">
        <v>33</v>
      </c>
      <c r="H38" s="192">
        <v>4400</v>
      </c>
      <c r="I38" s="192">
        <v>4400</v>
      </c>
      <c r="J38" s="192">
        <f t="shared" si="3"/>
        <v>0</v>
      </c>
      <c r="K38" s="193">
        <v>0.375</v>
      </c>
      <c r="L38" s="192">
        <f t="shared" si="1"/>
        <v>1650</v>
      </c>
      <c r="M38" s="192">
        <f t="shared" si="4"/>
        <v>0</v>
      </c>
      <c r="N38" s="190">
        <v>44649</v>
      </c>
      <c r="O38" s="191" t="s">
        <v>220</v>
      </c>
      <c r="P38" s="191" t="s">
        <v>734</v>
      </c>
      <c r="Q38" s="191" t="b">
        <v>1</v>
      </c>
      <c r="R38" s="191" t="s">
        <v>737</v>
      </c>
      <c r="S38" s="192" t="s">
        <v>230</v>
      </c>
    </row>
    <row r="39" spans="1:19">
      <c r="A39" s="192">
        <v>11</v>
      </c>
      <c r="B39" s="190">
        <v>44643</v>
      </c>
      <c r="C39" s="192" t="s">
        <v>493</v>
      </c>
      <c r="D39" s="192" t="s">
        <v>708</v>
      </c>
      <c r="E39" s="191" t="s">
        <v>34</v>
      </c>
      <c r="F39" s="191" t="s">
        <v>111</v>
      </c>
      <c r="G39" s="191" t="s">
        <v>32</v>
      </c>
      <c r="H39" s="192">
        <v>3400</v>
      </c>
      <c r="I39" s="192">
        <v>3400</v>
      </c>
      <c r="J39" s="192">
        <f t="shared" si="3"/>
        <v>0</v>
      </c>
      <c r="K39" s="193">
        <v>0.375</v>
      </c>
      <c r="L39" s="192">
        <f t="shared" si="1"/>
        <v>1275</v>
      </c>
      <c r="M39" s="192">
        <f t="shared" si="4"/>
        <v>0</v>
      </c>
      <c r="N39" s="190">
        <v>44649</v>
      </c>
      <c r="O39" s="191" t="s">
        <v>220</v>
      </c>
      <c r="P39" s="191" t="s">
        <v>734</v>
      </c>
      <c r="Q39" s="191" t="b">
        <v>1</v>
      </c>
      <c r="R39" s="191" t="s">
        <v>737</v>
      </c>
      <c r="S39" s="192" t="s">
        <v>230</v>
      </c>
    </row>
    <row r="40" spans="1:19">
      <c r="A40" s="192">
        <v>11</v>
      </c>
      <c r="B40" s="190">
        <v>44643</v>
      </c>
      <c r="C40" s="192" t="s">
        <v>493</v>
      </c>
      <c r="D40" s="192" t="s">
        <v>708</v>
      </c>
      <c r="E40" s="191" t="s">
        <v>34</v>
      </c>
      <c r="F40" s="191" t="s">
        <v>111</v>
      </c>
      <c r="G40" s="191" t="s">
        <v>30</v>
      </c>
      <c r="H40" s="192">
        <v>1380</v>
      </c>
      <c r="I40" s="192">
        <v>1380</v>
      </c>
      <c r="J40" s="192">
        <f t="shared" si="3"/>
        <v>0</v>
      </c>
      <c r="K40" s="193">
        <v>0.375</v>
      </c>
      <c r="L40" s="192">
        <f t="shared" si="1"/>
        <v>517.5</v>
      </c>
      <c r="M40" s="192">
        <f t="shared" si="4"/>
        <v>0</v>
      </c>
      <c r="N40" s="190">
        <v>44649</v>
      </c>
      <c r="O40" s="191" t="s">
        <v>220</v>
      </c>
      <c r="P40" s="191" t="s">
        <v>734</v>
      </c>
      <c r="Q40" s="191" t="b">
        <v>1</v>
      </c>
      <c r="R40" s="191" t="s">
        <v>737</v>
      </c>
      <c r="S40" s="192" t="s">
        <v>230</v>
      </c>
    </row>
    <row r="41" spans="1:19">
      <c r="A41" s="192">
        <v>11</v>
      </c>
      <c r="B41" s="190">
        <v>44643</v>
      </c>
      <c r="C41" s="192" t="s">
        <v>493</v>
      </c>
      <c r="D41" s="192" t="s">
        <v>708</v>
      </c>
      <c r="E41" s="191" t="s">
        <v>34</v>
      </c>
      <c r="F41" s="191" t="s">
        <v>152</v>
      </c>
      <c r="G41" s="191" t="s">
        <v>29</v>
      </c>
      <c r="H41" s="192">
        <v>820</v>
      </c>
      <c r="I41" s="192">
        <v>820</v>
      </c>
      <c r="J41" s="192">
        <f t="shared" si="3"/>
        <v>0</v>
      </c>
      <c r="K41" s="193">
        <v>0.375</v>
      </c>
      <c r="L41" s="192">
        <f t="shared" si="1"/>
        <v>307.5</v>
      </c>
      <c r="M41" s="192">
        <f t="shared" si="4"/>
        <v>0</v>
      </c>
      <c r="N41" s="190">
        <v>44649</v>
      </c>
      <c r="O41" s="191" t="s">
        <v>220</v>
      </c>
      <c r="P41" s="191" t="s">
        <v>734</v>
      </c>
      <c r="Q41" s="191" t="b">
        <v>1</v>
      </c>
      <c r="R41" s="191" t="s">
        <v>737</v>
      </c>
      <c r="S41" s="192" t="s">
        <v>230</v>
      </c>
    </row>
    <row r="42" spans="1:19">
      <c r="A42" s="192">
        <v>11</v>
      </c>
      <c r="B42" s="190">
        <v>44643</v>
      </c>
      <c r="C42" s="192" t="s">
        <v>493</v>
      </c>
      <c r="D42" s="192" t="s">
        <v>708</v>
      </c>
      <c r="E42" s="191" t="s">
        <v>28</v>
      </c>
      <c r="F42" s="191" t="s">
        <v>111</v>
      </c>
      <c r="G42" s="191" t="s">
        <v>27</v>
      </c>
      <c r="H42" s="192">
        <v>880</v>
      </c>
      <c r="I42" s="192">
        <v>880</v>
      </c>
      <c r="J42" s="192">
        <f t="shared" si="3"/>
        <v>0</v>
      </c>
      <c r="K42" s="193">
        <v>0.375</v>
      </c>
      <c r="L42" s="192">
        <f t="shared" si="1"/>
        <v>330</v>
      </c>
      <c r="M42" s="192">
        <f t="shared" si="4"/>
        <v>0</v>
      </c>
      <c r="N42" s="190">
        <v>44649</v>
      </c>
      <c r="O42" s="191" t="s">
        <v>220</v>
      </c>
      <c r="P42" s="191" t="s">
        <v>734</v>
      </c>
      <c r="Q42" s="191" t="b">
        <v>1</v>
      </c>
      <c r="R42" s="191" t="s">
        <v>737</v>
      </c>
      <c r="S42" s="192" t="s">
        <v>230</v>
      </c>
    </row>
    <row r="43" spans="1:19">
      <c r="A43" s="192">
        <v>11</v>
      </c>
      <c r="B43" s="190">
        <v>44643</v>
      </c>
      <c r="C43" s="192" t="s">
        <v>493</v>
      </c>
      <c r="D43" s="192" t="s">
        <v>708</v>
      </c>
      <c r="E43" s="191" t="s">
        <v>28</v>
      </c>
      <c r="F43" s="191" t="s">
        <v>111</v>
      </c>
      <c r="G43" s="191" t="s">
        <v>26</v>
      </c>
      <c r="H43" s="192">
        <v>1360</v>
      </c>
      <c r="I43" s="192">
        <v>1360</v>
      </c>
      <c r="J43" s="192">
        <f t="shared" si="3"/>
        <v>0</v>
      </c>
      <c r="K43" s="193">
        <v>0.375</v>
      </c>
      <c r="L43" s="192">
        <f t="shared" si="1"/>
        <v>510</v>
      </c>
      <c r="M43" s="192">
        <f t="shared" si="4"/>
        <v>0</v>
      </c>
      <c r="N43" s="190">
        <v>44649</v>
      </c>
      <c r="O43" s="191" t="s">
        <v>220</v>
      </c>
      <c r="P43" s="191" t="s">
        <v>734</v>
      </c>
      <c r="Q43" s="191" t="b">
        <v>1</v>
      </c>
      <c r="R43" s="191" t="s">
        <v>737</v>
      </c>
      <c r="S43" s="192" t="s">
        <v>230</v>
      </c>
    </row>
    <row r="44" spans="1:19">
      <c r="A44" s="192">
        <v>11</v>
      </c>
      <c r="B44" s="190">
        <v>44643</v>
      </c>
      <c r="C44" s="192" t="s">
        <v>493</v>
      </c>
      <c r="D44" s="192" t="s">
        <v>708</v>
      </c>
      <c r="E44" s="191" t="s">
        <v>28</v>
      </c>
      <c r="F44" s="191" t="s">
        <v>111</v>
      </c>
      <c r="G44" s="191" t="s">
        <v>25</v>
      </c>
      <c r="H44" s="192">
        <v>1380</v>
      </c>
      <c r="I44" s="192">
        <v>1380</v>
      </c>
      <c r="J44" s="192">
        <f t="shared" si="3"/>
        <v>0</v>
      </c>
      <c r="K44" s="193">
        <v>0.375</v>
      </c>
      <c r="L44" s="192">
        <f t="shared" si="1"/>
        <v>517.5</v>
      </c>
      <c r="M44" s="192">
        <f t="shared" si="4"/>
        <v>0</v>
      </c>
      <c r="N44" s="190">
        <v>44649</v>
      </c>
      <c r="O44" s="191" t="s">
        <v>220</v>
      </c>
      <c r="P44" s="191" t="s">
        <v>734</v>
      </c>
      <c r="Q44" s="191" t="b">
        <v>1</v>
      </c>
      <c r="R44" s="191" t="s">
        <v>737</v>
      </c>
      <c r="S44" s="192" t="s">
        <v>230</v>
      </c>
    </row>
    <row r="45" spans="1:19">
      <c r="A45" s="192">
        <v>11</v>
      </c>
      <c r="B45" s="190">
        <v>44643</v>
      </c>
      <c r="C45" s="192" t="s">
        <v>493</v>
      </c>
      <c r="D45" s="192" t="s">
        <v>708</v>
      </c>
      <c r="E45" s="191" t="s">
        <v>24</v>
      </c>
      <c r="F45" s="191" t="s">
        <v>111</v>
      </c>
      <c r="G45" s="191" t="s">
        <v>204</v>
      </c>
      <c r="H45" s="192">
        <v>1750</v>
      </c>
      <c r="I45" s="192">
        <v>1750</v>
      </c>
      <c r="J45" s="192">
        <f t="shared" si="3"/>
        <v>0</v>
      </c>
      <c r="K45" s="193">
        <v>0.375</v>
      </c>
      <c r="L45" s="192">
        <f t="shared" si="1"/>
        <v>656.25</v>
      </c>
      <c r="M45" s="192">
        <f t="shared" si="4"/>
        <v>0</v>
      </c>
      <c r="N45" s="190">
        <v>44649</v>
      </c>
      <c r="O45" s="191" t="s">
        <v>220</v>
      </c>
      <c r="P45" s="191" t="s">
        <v>734</v>
      </c>
      <c r="Q45" s="191" t="b">
        <v>1</v>
      </c>
      <c r="R45" s="191" t="s">
        <v>737</v>
      </c>
      <c r="S45" s="192" t="s">
        <v>230</v>
      </c>
    </row>
    <row r="46" spans="1:19">
      <c r="A46" s="192">
        <v>12</v>
      </c>
      <c r="B46" s="190">
        <v>44644</v>
      </c>
      <c r="C46" s="192" t="s">
        <v>713</v>
      </c>
      <c r="D46" s="192"/>
      <c r="E46" s="191" t="s">
        <v>21</v>
      </c>
      <c r="F46" s="191" t="s">
        <v>106</v>
      </c>
      <c r="G46" s="191" t="s">
        <v>20</v>
      </c>
      <c r="H46" s="192">
        <v>6900</v>
      </c>
      <c r="I46" s="192">
        <v>4000</v>
      </c>
      <c r="J46" s="192">
        <f t="shared" si="3"/>
        <v>2900</v>
      </c>
      <c r="K46" s="193">
        <v>0.5</v>
      </c>
      <c r="L46" s="192">
        <f t="shared" si="1"/>
        <v>2000</v>
      </c>
      <c r="M46" s="192">
        <f t="shared" si="4"/>
        <v>1450</v>
      </c>
      <c r="N46" s="190">
        <v>44645</v>
      </c>
      <c r="O46" s="191" t="s">
        <v>113</v>
      </c>
      <c r="P46" s="191" t="s">
        <v>734</v>
      </c>
      <c r="Q46" s="191" t="b">
        <v>1</v>
      </c>
      <c r="R46" s="191" t="s">
        <v>737</v>
      </c>
      <c r="S46" s="192" t="s">
        <v>230</v>
      </c>
    </row>
    <row r="47" spans="1:19">
      <c r="A47" s="192">
        <v>13</v>
      </c>
      <c r="B47" s="190">
        <v>44646</v>
      </c>
      <c r="C47" s="192" t="s">
        <v>493</v>
      </c>
      <c r="D47" s="192" t="s">
        <v>708</v>
      </c>
      <c r="E47" s="192" t="s">
        <v>17</v>
      </c>
      <c r="F47" s="191" t="s">
        <v>111</v>
      </c>
      <c r="G47" s="191" t="s">
        <v>210</v>
      </c>
      <c r="H47" s="192">
        <v>2653</v>
      </c>
      <c r="I47" s="192">
        <v>2653</v>
      </c>
      <c r="J47" s="192">
        <f t="shared" si="3"/>
        <v>0</v>
      </c>
      <c r="K47" s="193">
        <v>0.375</v>
      </c>
      <c r="L47" s="192">
        <v>994.88</v>
      </c>
      <c r="M47" s="192">
        <f t="shared" si="4"/>
        <v>0</v>
      </c>
      <c r="N47" s="190">
        <v>44648</v>
      </c>
      <c r="O47" s="191" t="s">
        <v>220</v>
      </c>
      <c r="P47" s="191" t="s">
        <v>734</v>
      </c>
      <c r="Q47" s="191" t="b">
        <v>1</v>
      </c>
      <c r="R47" s="191" t="s">
        <v>737</v>
      </c>
      <c r="S47" s="192" t="s">
        <v>230</v>
      </c>
    </row>
    <row r="48" spans="1:19">
      <c r="A48" s="192">
        <v>13</v>
      </c>
      <c r="B48" s="190">
        <v>44646</v>
      </c>
      <c r="C48" s="192" t="s">
        <v>493</v>
      </c>
      <c r="D48" s="192" t="s">
        <v>708</v>
      </c>
      <c r="E48" s="192" t="s">
        <v>16</v>
      </c>
      <c r="F48" s="191" t="s">
        <v>106</v>
      </c>
      <c r="G48" s="191" t="s">
        <v>15</v>
      </c>
      <c r="H48" s="192">
        <v>19800</v>
      </c>
      <c r="I48" s="192">
        <v>19800</v>
      </c>
      <c r="J48" s="192">
        <f t="shared" si="3"/>
        <v>0</v>
      </c>
      <c r="K48" s="193">
        <v>0.375</v>
      </c>
      <c r="L48" s="192">
        <f t="shared" ref="L48:L79" si="5">I48*K48</f>
        <v>7425</v>
      </c>
      <c r="M48" s="192">
        <f t="shared" si="4"/>
        <v>0</v>
      </c>
      <c r="N48" s="190">
        <v>44648</v>
      </c>
      <c r="O48" s="191" t="s">
        <v>220</v>
      </c>
      <c r="P48" s="191" t="s">
        <v>734</v>
      </c>
      <c r="Q48" s="191" t="b">
        <v>1</v>
      </c>
      <c r="R48" s="191" t="s">
        <v>737</v>
      </c>
      <c r="S48" s="192" t="s">
        <v>230</v>
      </c>
    </row>
    <row r="49" spans="1:19">
      <c r="A49" s="192">
        <v>13</v>
      </c>
      <c r="B49" s="190">
        <v>44646</v>
      </c>
      <c r="C49" s="192" t="s">
        <v>493</v>
      </c>
      <c r="D49" s="192" t="s">
        <v>708</v>
      </c>
      <c r="E49" s="192" t="s">
        <v>16</v>
      </c>
      <c r="F49" s="191" t="s">
        <v>111</v>
      </c>
      <c r="G49" s="191" t="s">
        <v>27</v>
      </c>
      <c r="H49" s="192">
        <v>880</v>
      </c>
      <c r="I49" s="192">
        <v>880</v>
      </c>
      <c r="J49" s="192">
        <f t="shared" si="3"/>
        <v>0</v>
      </c>
      <c r="K49" s="193">
        <v>0.375</v>
      </c>
      <c r="L49" s="192">
        <f t="shared" si="5"/>
        <v>330</v>
      </c>
      <c r="M49" s="192">
        <f t="shared" si="4"/>
        <v>0</v>
      </c>
      <c r="N49" s="190">
        <v>44648</v>
      </c>
      <c r="O49" s="191" t="s">
        <v>220</v>
      </c>
      <c r="P49" s="191" t="s">
        <v>734</v>
      </c>
      <c r="Q49" s="191" t="b">
        <v>1</v>
      </c>
      <c r="R49" s="191" t="s">
        <v>737</v>
      </c>
      <c r="S49" s="192" t="s">
        <v>230</v>
      </c>
    </row>
    <row r="50" spans="1:19">
      <c r="A50" s="192">
        <v>14</v>
      </c>
      <c r="B50" s="190">
        <v>44649</v>
      </c>
      <c r="C50" s="192" t="s">
        <v>493</v>
      </c>
      <c r="D50" s="192" t="s">
        <v>716</v>
      </c>
      <c r="E50" s="191" t="s">
        <v>10</v>
      </c>
      <c r="F50" s="191" t="s">
        <v>160</v>
      </c>
      <c r="G50" s="191" t="s">
        <v>9</v>
      </c>
      <c r="H50" s="192">
        <v>-57000</v>
      </c>
      <c r="I50" s="192">
        <v>-57000</v>
      </c>
      <c r="J50" s="192">
        <f t="shared" si="3"/>
        <v>0</v>
      </c>
      <c r="K50" s="193">
        <v>0.375</v>
      </c>
      <c r="L50" s="192">
        <f t="shared" si="5"/>
        <v>-21375</v>
      </c>
      <c r="M50" s="192">
        <f t="shared" si="4"/>
        <v>0</v>
      </c>
      <c r="N50" s="190">
        <v>44649</v>
      </c>
      <c r="O50" s="191" t="s">
        <v>734</v>
      </c>
      <c r="P50" s="191" t="s">
        <v>220</v>
      </c>
      <c r="Q50" s="191"/>
      <c r="R50" s="191"/>
      <c r="S50" s="192"/>
    </row>
    <row r="51" spans="1:19">
      <c r="A51" s="192">
        <v>15</v>
      </c>
      <c r="B51" s="190">
        <v>44651</v>
      </c>
      <c r="C51" s="192" t="s">
        <v>713</v>
      </c>
      <c r="D51" s="192"/>
      <c r="E51" s="191" t="s">
        <v>5</v>
      </c>
      <c r="F51" s="191" t="s">
        <v>111</v>
      </c>
      <c r="G51" s="191" t="s">
        <v>216</v>
      </c>
      <c r="H51" s="192">
        <v>6880</v>
      </c>
      <c r="I51" s="192">
        <v>4880</v>
      </c>
      <c r="J51" s="192">
        <f t="shared" si="3"/>
        <v>2000</v>
      </c>
      <c r="K51" s="193">
        <v>0.5</v>
      </c>
      <c r="L51" s="192">
        <f t="shared" si="5"/>
        <v>2440</v>
      </c>
      <c r="M51" s="192">
        <f t="shared" si="4"/>
        <v>1000</v>
      </c>
      <c r="N51" s="190">
        <v>44652</v>
      </c>
      <c r="O51" s="191" t="s">
        <v>113</v>
      </c>
      <c r="P51" s="191" t="s">
        <v>734</v>
      </c>
      <c r="Q51" s="191" t="b">
        <v>1</v>
      </c>
      <c r="R51" s="191" t="s">
        <v>737</v>
      </c>
      <c r="S51" s="192" t="s">
        <v>230</v>
      </c>
    </row>
    <row r="52" spans="1:19">
      <c r="A52" s="192">
        <v>15</v>
      </c>
      <c r="B52" s="190">
        <v>44651</v>
      </c>
      <c r="C52" s="192" t="s">
        <v>713</v>
      </c>
      <c r="D52" s="192"/>
      <c r="E52" s="191" t="s">
        <v>215</v>
      </c>
      <c r="F52" s="191" t="s">
        <v>106</v>
      </c>
      <c r="G52" s="191" t="s">
        <v>217</v>
      </c>
      <c r="H52" s="192">
        <v>2380</v>
      </c>
      <c r="I52" s="192">
        <v>2380</v>
      </c>
      <c r="J52" s="192">
        <f t="shared" si="3"/>
        <v>0</v>
      </c>
      <c r="K52" s="193">
        <v>0.5</v>
      </c>
      <c r="L52" s="192">
        <f t="shared" si="5"/>
        <v>1190</v>
      </c>
      <c r="M52" s="192">
        <f t="shared" si="4"/>
        <v>0</v>
      </c>
      <c r="N52" s="190">
        <v>44652</v>
      </c>
      <c r="O52" s="191" t="s">
        <v>113</v>
      </c>
      <c r="P52" s="191" t="s">
        <v>734</v>
      </c>
      <c r="Q52" s="191" t="b">
        <v>1</v>
      </c>
      <c r="R52" s="191" t="s">
        <v>737</v>
      </c>
      <c r="S52" s="192" t="s">
        <v>230</v>
      </c>
    </row>
    <row r="53" spans="1:19">
      <c r="A53" s="192">
        <v>16</v>
      </c>
      <c r="B53" s="190">
        <v>44658</v>
      </c>
      <c r="C53" s="191" t="s">
        <v>713</v>
      </c>
      <c r="D53" s="191"/>
      <c r="E53" s="191" t="s">
        <v>110</v>
      </c>
      <c r="F53" s="191" t="s">
        <v>111</v>
      </c>
      <c r="G53" s="191" t="s">
        <v>112</v>
      </c>
      <c r="H53" s="192">
        <v>1300</v>
      </c>
      <c r="I53" s="192">
        <v>1300</v>
      </c>
      <c r="J53" s="192">
        <f t="shared" si="3"/>
        <v>0</v>
      </c>
      <c r="K53" s="193">
        <v>0.5</v>
      </c>
      <c r="L53" s="192">
        <f t="shared" si="5"/>
        <v>650</v>
      </c>
      <c r="M53" s="192">
        <f t="shared" si="4"/>
        <v>0</v>
      </c>
      <c r="N53" s="190">
        <v>44658</v>
      </c>
      <c r="O53" s="191" t="s">
        <v>113</v>
      </c>
      <c r="P53" s="191" t="s">
        <v>734</v>
      </c>
      <c r="Q53" s="191" t="b">
        <v>1</v>
      </c>
      <c r="R53" s="191" t="s">
        <v>737</v>
      </c>
      <c r="S53" s="192" t="s">
        <v>230</v>
      </c>
    </row>
    <row r="54" spans="1:19">
      <c r="A54" s="192">
        <v>16</v>
      </c>
      <c r="B54" s="190">
        <v>44658</v>
      </c>
      <c r="C54" s="191" t="s">
        <v>731</v>
      </c>
      <c r="D54" s="191"/>
      <c r="E54" s="191" t="s">
        <v>114</v>
      </c>
      <c r="F54" s="191" t="s">
        <v>111</v>
      </c>
      <c r="G54" s="191" t="s">
        <v>133</v>
      </c>
      <c r="H54" s="192">
        <v>1380</v>
      </c>
      <c r="I54" s="192">
        <v>1380</v>
      </c>
      <c r="J54" s="192">
        <f t="shared" si="3"/>
        <v>0</v>
      </c>
      <c r="K54" s="193">
        <v>0.5</v>
      </c>
      <c r="L54" s="192">
        <f t="shared" si="5"/>
        <v>690</v>
      </c>
      <c r="M54" s="192">
        <f t="shared" si="4"/>
        <v>0</v>
      </c>
      <c r="N54" s="190">
        <v>44658</v>
      </c>
      <c r="O54" s="191" t="s">
        <v>115</v>
      </c>
      <c r="P54" s="191" t="s">
        <v>116</v>
      </c>
      <c r="Q54" s="191"/>
      <c r="R54" s="191"/>
      <c r="S54" s="192"/>
    </row>
    <row r="55" spans="1:19">
      <c r="A55" s="192">
        <v>16</v>
      </c>
      <c r="B55" s="190">
        <v>44658</v>
      </c>
      <c r="C55" s="191" t="s">
        <v>733</v>
      </c>
      <c r="D55" s="191"/>
      <c r="E55" s="191" t="s">
        <v>105</v>
      </c>
      <c r="F55" s="191" t="s">
        <v>106</v>
      </c>
      <c r="G55" s="191" t="s">
        <v>107</v>
      </c>
      <c r="H55" s="192">
        <v>19800</v>
      </c>
      <c r="I55" s="192">
        <v>10000</v>
      </c>
      <c r="J55" s="192">
        <f t="shared" si="3"/>
        <v>9800</v>
      </c>
      <c r="K55" s="193">
        <v>0.5</v>
      </c>
      <c r="L55" s="192">
        <f t="shared" si="5"/>
        <v>5000</v>
      </c>
      <c r="M55" s="192">
        <f t="shared" si="4"/>
        <v>4900</v>
      </c>
      <c r="N55" s="190">
        <v>44659</v>
      </c>
      <c r="O55" s="191" t="s">
        <v>108</v>
      </c>
      <c r="P55" s="191" t="s">
        <v>734</v>
      </c>
      <c r="Q55" s="191" t="b">
        <v>1</v>
      </c>
      <c r="R55" s="191" t="s">
        <v>737</v>
      </c>
      <c r="S55" s="192" t="s">
        <v>230</v>
      </c>
    </row>
    <row r="56" spans="1:19">
      <c r="A56" s="192">
        <v>17</v>
      </c>
      <c r="B56" s="190">
        <v>44659</v>
      </c>
      <c r="C56" s="192" t="s">
        <v>493</v>
      </c>
      <c r="D56" s="192" t="s">
        <v>716</v>
      </c>
      <c r="E56" s="191" t="s">
        <v>118</v>
      </c>
      <c r="F56" s="191" t="s">
        <v>111</v>
      </c>
      <c r="G56" s="191" t="s">
        <v>119</v>
      </c>
      <c r="H56" s="192">
        <v>3980</v>
      </c>
      <c r="I56" s="192">
        <v>3980</v>
      </c>
      <c r="J56" s="192">
        <f t="shared" si="3"/>
        <v>0</v>
      </c>
      <c r="K56" s="193">
        <v>0.375</v>
      </c>
      <c r="L56" s="192">
        <f t="shared" si="5"/>
        <v>1492.5</v>
      </c>
      <c r="M56" s="192">
        <f t="shared" si="4"/>
        <v>0</v>
      </c>
      <c r="N56" s="190">
        <v>44665</v>
      </c>
      <c r="O56" s="192" t="s">
        <v>220</v>
      </c>
      <c r="P56" s="192" t="s">
        <v>734</v>
      </c>
      <c r="Q56" s="191" t="b">
        <v>1</v>
      </c>
      <c r="R56" s="191" t="s">
        <v>737</v>
      </c>
      <c r="S56" s="192" t="s">
        <v>230</v>
      </c>
    </row>
    <row r="57" spans="1:19">
      <c r="A57" s="192">
        <v>17</v>
      </c>
      <c r="B57" s="190">
        <v>44659</v>
      </c>
      <c r="C57" s="192" t="s">
        <v>493</v>
      </c>
      <c r="D57" s="192" t="s">
        <v>716</v>
      </c>
      <c r="E57" s="191" t="s">
        <v>120</v>
      </c>
      <c r="F57" s="191" t="s">
        <v>111</v>
      </c>
      <c r="G57" s="191" t="s">
        <v>121</v>
      </c>
      <c r="H57" s="192">
        <v>9900</v>
      </c>
      <c r="I57" s="192">
        <v>9900</v>
      </c>
      <c r="J57" s="192">
        <f t="shared" si="3"/>
        <v>0</v>
      </c>
      <c r="K57" s="193">
        <v>0.375</v>
      </c>
      <c r="L57" s="192">
        <f t="shared" si="5"/>
        <v>3712.5</v>
      </c>
      <c r="M57" s="192">
        <f t="shared" si="4"/>
        <v>0</v>
      </c>
      <c r="N57" s="190">
        <v>44665</v>
      </c>
      <c r="O57" s="192" t="s">
        <v>220</v>
      </c>
      <c r="P57" s="192" t="s">
        <v>734</v>
      </c>
      <c r="Q57" s="191" t="b">
        <v>1</v>
      </c>
      <c r="R57" s="191" t="s">
        <v>737</v>
      </c>
      <c r="S57" s="192" t="s">
        <v>230</v>
      </c>
    </row>
    <row r="58" spans="1:19">
      <c r="A58" s="192">
        <v>17</v>
      </c>
      <c r="B58" s="190">
        <v>44659</v>
      </c>
      <c r="C58" s="192" t="s">
        <v>493</v>
      </c>
      <c r="D58" s="192" t="s">
        <v>716</v>
      </c>
      <c r="E58" s="191" t="s">
        <v>122</v>
      </c>
      <c r="F58" s="191" t="s">
        <v>106</v>
      </c>
      <c r="G58" s="191" t="s">
        <v>123</v>
      </c>
      <c r="H58" s="192">
        <v>29800</v>
      </c>
      <c r="I58" s="192">
        <v>29800</v>
      </c>
      <c r="J58" s="192">
        <f t="shared" si="3"/>
        <v>0</v>
      </c>
      <c r="K58" s="193">
        <v>0.375</v>
      </c>
      <c r="L58" s="192">
        <f t="shared" si="5"/>
        <v>11175</v>
      </c>
      <c r="M58" s="192">
        <f t="shared" si="4"/>
        <v>0</v>
      </c>
      <c r="N58" s="190">
        <v>44665</v>
      </c>
      <c r="O58" s="192" t="s">
        <v>220</v>
      </c>
      <c r="P58" s="192" t="s">
        <v>734</v>
      </c>
      <c r="Q58" s="191" t="b">
        <v>1</v>
      </c>
      <c r="R58" s="191" t="s">
        <v>737</v>
      </c>
      <c r="S58" s="192" t="s">
        <v>230</v>
      </c>
    </row>
    <row r="59" spans="1:19">
      <c r="A59" s="192">
        <v>17</v>
      </c>
      <c r="B59" s="190">
        <v>44659</v>
      </c>
      <c r="C59" s="192" t="s">
        <v>493</v>
      </c>
      <c r="D59" s="192" t="s">
        <v>716</v>
      </c>
      <c r="E59" s="191" t="s">
        <v>122</v>
      </c>
      <c r="F59" s="191" t="s">
        <v>111</v>
      </c>
      <c r="G59" s="191" t="s">
        <v>124</v>
      </c>
      <c r="H59" s="192">
        <v>17600</v>
      </c>
      <c r="I59" s="192">
        <v>17600</v>
      </c>
      <c r="J59" s="192">
        <f t="shared" si="3"/>
        <v>0</v>
      </c>
      <c r="K59" s="193">
        <v>0.375</v>
      </c>
      <c r="L59" s="192">
        <f t="shared" si="5"/>
        <v>6600</v>
      </c>
      <c r="M59" s="192">
        <f t="shared" si="4"/>
        <v>0</v>
      </c>
      <c r="N59" s="190">
        <v>44665</v>
      </c>
      <c r="O59" s="192" t="s">
        <v>220</v>
      </c>
      <c r="P59" s="192" t="s">
        <v>734</v>
      </c>
      <c r="Q59" s="191" t="b">
        <v>1</v>
      </c>
      <c r="R59" s="191" t="s">
        <v>737</v>
      </c>
      <c r="S59" s="192" t="s">
        <v>230</v>
      </c>
    </row>
    <row r="60" spans="1:19">
      <c r="A60" s="192">
        <v>18</v>
      </c>
      <c r="B60" s="194">
        <v>44660</v>
      </c>
      <c r="C60" s="192" t="s">
        <v>493</v>
      </c>
      <c r="D60" s="192" t="s">
        <v>708</v>
      </c>
      <c r="E60" s="192" t="s">
        <v>131</v>
      </c>
      <c r="F60" s="192" t="s">
        <v>106</v>
      </c>
      <c r="G60" s="192" t="s">
        <v>132</v>
      </c>
      <c r="H60" s="192">
        <v>9900</v>
      </c>
      <c r="I60" s="192">
        <v>8900</v>
      </c>
      <c r="J60" s="192">
        <f t="shared" si="3"/>
        <v>1000</v>
      </c>
      <c r="K60" s="192">
        <v>0.375</v>
      </c>
      <c r="L60" s="192">
        <f t="shared" si="5"/>
        <v>3337.5</v>
      </c>
      <c r="M60" s="192">
        <f t="shared" si="4"/>
        <v>375</v>
      </c>
      <c r="N60" s="190">
        <v>44665</v>
      </c>
      <c r="O60" s="192" t="s">
        <v>220</v>
      </c>
      <c r="P60" s="192" t="s">
        <v>734</v>
      </c>
      <c r="Q60" s="191" t="b">
        <v>1</v>
      </c>
      <c r="R60" s="191" t="s">
        <v>737</v>
      </c>
      <c r="S60" s="192" t="s">
        <v>230</v>
      </c>
    </row>
    <row r="61" spans="1:19">
      <c r="A61" s="192">
        <v>18</v>
      </c>
      <c r="B61" s="194">
        <v>44660</v>
      </c>
      <c r="C61" s="192" t="s">
        <v>493</v>
      </c>
      <c r="D61" s="192" t="s">
        <v>708</v>
      </c>
      <c r="E61" s="192" t="s">
        <v>134</v>
      </c>
      <c r="F61" s="192" t="s">
        <v>111</v>
      </c>
      <c r="G61" s="192" t="s">
        <v>135</v>
      </c>
      <c r="H61" s="192">
        <v>3980</v>
      </c>
      <c r="I61" s="192">
        <v>3980</v>
      </c>
      <c r="J61" s="192">
        <f t="shared" si="3"/>
        <v>0</v>
      </c>
      <c r="K61" s="192">
        <v>0.375</v>
      </c>
      <c r="L61" s="192">
        <f t="shared" si="5"/>
        <v>1492.5</v>
      </c>
      <c r="M61" s="192">
        <f t="shared" si="4"/>
        <v>0</v>
      </c>
      <c r="N61" s="190">
        <v>44665</v>
      </c>
      <c r="O61" s="192" t="s">
        <v>220</v>
      </c>
      <c r="P61" s="192" t="s">
        <v>734</v>
      </c>
      <c r="Q61" s="191" t="b">
        <v>1</v>
      </c>
      <c r="R61" s="191" t="s">
        <v>737</v>
      </c>
      <c r="S61" s="192" t="s">
        <v>230</v>
      </c>
    </row>
    <row r="62" spans="1:19">
      <c r="A62" s="192">
        <v>19</v>
      </c>
      <c r="B62" s="194">
        <v>44679</v>
      </c>
      <c r="C62" s="192" t="s">
        <v>493</v>
      </c>
      <c r="D62" s="192" t="s">
        <v>716</v>
      </c>
      <c r="E62" s="192" t="s">
        <v>131</v>
      </c>
      <c r="F62" s="192" t="s">
        <v>111</v>
      </c>
      <c r="G62" s="192" t="s">
        <v>180</v>
      </c>
      <c r="H62" s="192">
        <v>1898</v>
      </c>
      <c r="I62" s="192">
        <v>1898</v>
      </c>
      <c r="J62" s="192">
        <f t="shared" si="3"/>
        <v>0</v>
      </c>
      <c r="K62" s="192">
        <v>0.375</v>
      </c>
      <c r="L62" s="192">
        <f t="shared" si="5"/>
        <v>711.75</v>
      </c>
      <c r="M62" s="192">
        <f t="shared" si="4"/>
        <v>0</v>
      </c>
      <c r="N62" s="190">
        <v>44692</v>
      </c>
      <c r="O62" s="192" t="s">
        <v>220</v>
      </c>
      <c r="P62" s="192" t="s">
        <v>734</v>
      </c>
      <c r="Q62" s="191" t="b">
        <v>1</v>
      </c>
      <c r="R62" s="191" t="s">
        <v>737</v>
      </c>
      <c r="S62" s="192" t="s">
        <v>230</v>
      </c>
    </row>
    <row r="63" spans="1:19">
      <c r="A63" s="192">
        <v>20</v>
      </c>
      <c r="B63" s="190">
        <v>44686</v>
      </c>
      <c r="C63" s="192" t="s">
        <v>713</v>
      </c>
      <c r="D63" s="192"/>
      <c r="E63" s="192" t="s">
        <v>5</v>
      </c>
      <c r="F63" s="192" t="s">
        <v>185</v>
      </c>
      <c r="G63" s="192" t="s">
        <v>219</v>
      </c>
      <c r="H63" s="192">
        <v>0</v>
      </c>
      <c r="I63" s="192">
        <v>2000</v>
      </c>
      <c r="J63" s="192">
        <v>-2000</v>
      </c>
      <c r="K63" s="193">
        <v>0.5</v>
      </c>
      <c r="L63" s="192">
        <f t="shared" si="5"/>
        <v>1000</v>
      </c>
      <c r="M63" s="192">
        <f t="shared" si="4"/>
        <v>-1000</v>
      </c>
      <c r="N63" s="190">
        <v>44686</v>
      </c>
      <c r="O63" s="192" t="s">
        <v>113</v>
      </c>
      <c r="P63" s="192" t="s">
        <v>734</v>
      </c>
      <c r="Q63" s="191" t="b">
        <v>1</v>
      </c>
      <c r="R63" s="191" t="s">
        <v>737</v>
      </c>
      <c r="S63" s="192" t="s">
        <v>230</v>
      </c>
    </row>
    <row r="64" spans="1:19">
      <c r="A64" s="192">
        <v>21</v>
      </c>
      <c r="B64" s="190">
        <v>44689</v>
      </c>
      <c r="C64" s="192" t="s">
        <v>493</v>
      </c>
      <c r="D64" s="192" t="s">
        <v>716</v>
      </c>
      <c r="E64" s="192" t="s">
        <v>139</v>
      </c>
      <c r="F64" s="192" t="s">
        <v>111</v>
      </c>
      <c r="G64" s="192" t="s">
        <v>218</v>
      </c>
      <c r="H64" s="192">
        <v>7960</v>
      </c>
      <c r="I64" s="192">
        <v>7960</v>
      </c>
      <c r="J64" s="192">
        <f t="shared" ref="J64:J95" si="6">H64-I64</f>
        <v>0</v>
      </c>
      <c r="K64" s="193">
        <v>0.375</v>
      </c>
      <c r="L64" s="192">
        <f t="shared" si="5"/>
        <v>2985</v>
      </c>
      <c r="M64" s="192">
        <f t="shared" si="4"/>
        <v>0</v>
      </c>
      <c r="N64" s="190">
        <v>44692</v>
      </c>
      <c r="O64" s="192" t="s">
        <v>220</v>
      </c>
      <c r="P64" s="192" t="s">
        <v>734</v>
      </c>
      <c r="Q64" s="191" t="b">
        <v>1</v>
      </c>
      <c r="R64" s="191" t="s">
        <v>737</v>
      </c>
      <c r="S64" s="192" t="s">
        <v>230</v>
      </c>
    </row>
    <row r="65" spans="1:19">
      <c r="A65" s="192">
        <v>21</v>
      </c>
      <c r="B65" s="190">
        <v>44689</v>
      </c>
      <c r="C65" s="192" t="s">
        <v>493</v>
      </c>
      <c r="D65" s="192" t="s">
        <v>716</v>
      </c>
      <c r="E65" s="195" t="s">
        <v>481</v>
      </c>
      <c r="F65" s="192" t="s">
        <v>111</v>
      </c>
      <c r="G65" s="192" t="s">
        <v>111</v>
      </c>
      <c r="H65" s="192">
        <v>600</v>
      </c>
      <c r="I65" s="192">
        <v>600</v>
      </c>
      <c r="J65" s="192">
        <f t="shared" si="6"/>
        <v>0</v>
      </c>
      <c r="K65" s="193">
        <v>1</v>
      </c>
      <c r="L65" s="192">
        <f t="shared" si="5"/>
        <v>600</v>
      </c>
      <c r="M65" s="192">
        <f t="shared" si="4"/>
        <v>0</v>
      </c>
      <c r="N65" s="190">
        <v>44692</v>
      </c>
      <c r="O65" s="192" t="s">
        <v>220</v>
      </c>
      <c r="P65" s="192" t="s">
        <v>734</v>
      </c>
      <c r="Q65" s="191" t="b">
        <v>1</v>
      </c>
      <c r="R65" s="191" t="s">
        <v>737</v>
      </c>
      <c r="S65" s="192" t="s">
        <v>230</v>
      </c>
    </row>
    <row r="66" spans="1:19">
      <c r="A66" s="192">
        <v>22</v>
      </c>
      <c r="B66" s="190">
        <v>44695</v>
      </c>
      <c r="C66" s="192" t="s">
        <v>713</v>
      </c>
      <c r="D66" s="192"/>
      <c r="E66" s="192" t="s">
        <v>221</v>
      </c>
      <c r="F66" s="192" t="s">
        <v>185</v>
      </c>
      <c r="G66" s="192" t="s">
        <v>222</v>
      </c>
      <c r="H66" s="192">
        <v>0</v>
      </c>
      <c r="I66" s="192">
        <v>2900</v>
      </c>
      <c r="J66" s="192">
        <f t="shared" si="6"/>
        <v>-2900</v>
      </c>
      <c r="K66" s="193">
        <v>0.5</v>
      </c>
      <c r="L66" s="192">
        <f t="shared" si="5"/>
        <v>1450</v>
      </c>
      <c r="M66" s="192">
        <f t="shared" si="4"/>
        <v>-1450</v>
      </c>
      <c r="N66" s="190">
        <v>44695</v>
      </c>
      <c r="O66" s="192" t="s">
        <v>113</v>
      </c>
      <c r="P66" s="192" t="s">
        <v>734</v>
      </c>
      <c r="Q66" s="191" t="b">
        <v>1</v>
      </c>
      <c r="R66" s="191" t="s">
        <v>737</v>
      </c>
      <c r="S66" s="192" t="s">
        <v>230</v>
      </c>
    </row>
    <row r="67" spans="1:19">
      <c r="A67" s="192">
        <v>23</v>
      </c>
      <c r="B67" s="190">
        <v>44696</v>
      </c>
      <c r="C67" s="192" t="s">
        <v>493</v>
      </c>
      <c r="D67" s="192" t="s">
        <v>716</v>
      </c>
      <c r="E67" s="192" t="s">
        <v>227</v>
      </c>
      <c r="F67" s="192" t="s">
        <v>106</v>
      </c>
      <c r="G67" s="192" t="s">
        <v>228</v>
      </c>
      <c r="H67" s="192">
        <v>24880</v>
      </c>
      <c r="I67" s="192">
        <v>24880</v>
      </c>
      <c r="J67" s="192">
        <f t="shared" si="6"/>
        <v>0</v>
      </c>
      <c r="K67" s="193">
        <v>0.375</v>
      </c>
      <c r="L67" s="192">
        <f t="shared" si="5"/>
        <v>9330</v>
      </c>
      <c r="M67" s="192">
        <f t="shared" ref="M67:M84" si="7">J67*K67</f>
        <v>0</v>
      </c>
      <c r="N67" s="190">
        <v>44699</v>
      </c>
      <c r="O67" s="192" t="s">
        <v>220</v>
      </c>
      <c r="P67" s="192" t="s">
        <v>734</v>
      </c>
      <c r="Q67" s="191" t="b">
        <v>1</v>
      </c>
      <c r="R67" s="191" t="s">
        <v>737</v>
      </c>
      <c r="S67" s="192" t="s">
        <v>230</v>
      </c>
    </row>
    <row r="68" spans="1:19">
      <c r="A68" s="192">
        <v>23</v>
      </c>
      <c r="B68" s="190">
        <v>44696</v>
      </c>
      <c r="C68" s="192" t="s">
        <v>493</v>
      </c>
      <c r="D68" s="192" t="s">
        <v>716</v>
      </c>
      <c r="E68" s="192" t="s">
        <v>229</v>
      </c>
      <c r="F68" s="192" t="s">
        <v>111</v>
      </c>
      <c r="G68" s="192" t="s">
        <v>121</v>
      </c>
      <c r="H68" s="192">
        <v>8800</v>
      </c>
      <c r="I68" s="192">
        <v>2800</v>
      </c>
      <c r="J68" s="192">
        <f t="shared" si="6"/>
        <v>6000</v>
      </c>
      <c r="K68" s="193">
        <v>0.375</v>
      </c>
      <c r="L68" s="192">
        <f t="shared" si="5"/>
        <v>1050</v>
      </c>
      <c r="M68" s="192">
        <f t="shared" si="7"/>
        <v>2250</v>
      </c>
      <c r="N68" s="190">
        <v>44699</v>
      </c>
      <c r="O68" s="192" t="s">
        <v>220</v>
      </c>
      <c r="P68" s="192" t="s">
        <v>734</v>
      </c>
      <c r="Q68" s="191" t="b">
        <v>1</v>
      </c>
      <c r="R68" s="191" t="s">
        <v>737</v>
      </c>
      <c r="S68" s="192" t="s">
        <v>230</v>
      </c>
    </row>
    <row r="69" spans="1:19">
      <c r="A69" s="192">
        <v>24</v>
      </c>
      <c r="B69" s="190">
        <v>44702</v>
      </c>
      <c r="C69" s="192" t="s">
        <v>493</v>
      </c>
      <c r="D69" s="192" t="s">
        <v>716</v>
      </c>
      <c r="E69" s="192" t="s">
        <v>223</v>
      </c>
      <c r="F69" s="192" t="s">
        <v>111</v>
      </c>
      <c r="G69" s="192" t="s">
        <v>224</v>
      </c>
      <c r="H69" s="192">
        <v>580</v>
      </c>
      <c r="I69" s="192">
        <v>580</v>
      </c>
      <c r="J69" s="192">
        <f t="shared" si="6"/>
        <v>0</v>
      </c>
      <c r="K69" s="193">
        <v>0.375</v>
      </c>
      <c r="L69" s="192">
        <f t="shared" si="5"/>
        <v>217.5</v>
      </c>
      <c r="M69" s="192">
        <f t="shared" si="7"/>
        <v>0</v>
      </c>
      <c r="N69" s="190">
        <v>44704</v>
      </c>
      <c r="O69" s="192" t="s">
        <v>220</v>
      </c>
      <c r="P69" s="192" t="s">
        <v>734</v>
      </c>
      <c r="Q69" s="191" t="b">
        <v>1</v>
      </c>
      <c r="R69" s="191" t="s">
        <v>737</v>
      </c>
      <c r="S69" s="192" t="s">
        <v>230</v>
      </c>
    </row>
    <row r="70" spans="1:19">
      <c r="A70" s="192">
        <v>24</v>
      </c>
      <c r="B70" s="190">
        <v>44702</v>
      </c>
      <c r="C70" s="192" t="s">
        <v>493</v>
      </c>
      <c r="D70" s="192" t="s">
        <v>716</v>
      </c>
      <c r="E70" s="192" t="s">
        <v>225</v>
      </c>
      <c r="F70" s="192" t="s">
        <v>106</v>
      </c>
      <c r="G70" s="192" t="s">
        <v>226</v>
      </c>
      <c r="H70" s="192">
        <v>31900</v>
      </c>
      <c r="I70" s="192">
        <v>31900</v>
      </c>
      <c r="J70" s="192">
        <f t="shared" si="6"/>
        <v>0</v>
      </c>
      <c r="K70" s="193">
        <v>0.375</v>
      </c>
      <c r="L70" s="192">
        <f t="shared" si="5"/>
        <v>11962.5</v>
      </c>
      <c r="M70" s="192">
        <f t="shared" si="7"/>
        <v>0</v>
      </c>
      <c r="N70" s="190">
        <v>44704</v>
      </c>
      <c r="O70" s="192" t="s">
        <v>220</v>
      </c>
      <c r="P70" s="192" t="s">
        <v>734</v>
      </c>
      <c r="Q70" s="191" t="b">
        <v>1</v>
      </c>
      <c r="R70" s="191" t="s">
        <v>737</v>
      </c>
      <c r="S70" s="192" t="s">
        <v>230</v>
      </c>
    </row>
    <row r="71" spans="1:19">
      <c r="A71" s="192">
        <v>25</v>
      </c>
      <c r="B71" s="190">
        <v>44710</v>
      </c>
      <c r="C71" s="192" t="s">
        <v>387</v>
      </c>
      <c r="D71" s="192"/>
      <c r="E71" s="192" t="s">
        <v>388</v>
      </c>
      <c r="F71" s="192" t="s">
        <v>106</v>
      </c>
      <c r="G71" s="192" t="s">
        <v>155</v>
      </c>
      <c r="H71" s="192">
        <v>6980</v>
      </c>
      <c r="I71" s="192">
        <v>6980</v>
      </c>
      <c r="J71" s="192">
        <f t="shared" si="6"/>
        <v>0</v>
      </c>
      <c r="K71" s="193">
        <v>0.4</v>
      </c>
      <c r="L71" s="192">
        <f t="shared" si="5"/>
        <v>2792</v>
      </c>
      <c r="M71" s="192">
        <f t="shared" si="7"/>
        <v>0</v>
      </c>
      <c r="N71" s="190">
        <v>44726</v>
      </c>
      <c r="O71" s="192" t="s">
        <v>482</v>
      </c>
      <c r="P71" s="192" t="s">
        <v>483</v>
      </c>
      <c r="Q71" s="192"/>
      <c r="R71" s="192"/>
      <c r="S71" s="192"/>
    </row>
    <row r="72" spans="1:19">
      <c r="A72" s="192">
        <v>25</v>
      </c>
      <c r="B72" s="190">
        <v>44712</v>
      </c>
      <c r="C72" s="192" t="s">
        <v>387</v>
      </c>
      <c r="D72" s="192"/>
      <c r="E72" s="192" t="s">
        <v>389</v>
      </c>
      <c r="F72" s="192" t="s">
        <v>106</v>
      </c>
      <c r="G72" s="192" t="s">
        <v>226</v>
      </c>
      <c r="H72" s="192">
        <v>11940</v>
      </c>
      <c r="I72" s="192">
        <v>0</v>
      </c>
      <c r="J72" s="192">
        <f t="shared" si="6"/>
        <v>11940</v>
      </c>
      <c r="K72" s="193">
        <v>0.4</v>
      </c>
      <c r="L72" s="192">
        <f t="shared" si="5"/>
        <v>0</v>
      </c>
      <c r="M72" s="192">
        <f t="shared" si="7"/>
        <v>4776</v>
      </c>
      <c r="N72" s="190">
        <v>44726</v>
      </c>
      <c r="O72" s="192" t="s">
        <v>482</v>
      </c>
      <c r="P72" s="192" t="s">
        <v>483</v>
      </c>
      <c r="Q72" s="192"/>
      <c r="R72" s="192"/>
      <c r="S72" s="192"/>
    </row>
    <row r="73" spans="1:19">
      <c r="A73" s="192">
        <v>25</v>
      </c>
      <c r="B73" s="190">
        <v>44715</v>
      </c>
      <c r="C73" s="192" t="s">
        <v>387</v>
      </c>
      <c r="D73" s="192"/>
      <c r="E73" s="192" t="s">
        <v>390</v>
      </c>
      <c r="F73" s="192" t="s">
        <v>106</v>
      </c>
      <c r="G73" s="192" t="s">
        <v>107</v>
      </c>
      <c r="H73" s="192">
        <v>29800</v>
      </c>
      <c r="I73" s="192">
        <v>29800</v>
      </c>
      <c r="J73" s="192">
        <f t="shared" si="6"/>
        <v>0</v>
      </c>
      <c r="K73" s="193">
        <v>0.4</v>
      </c>
      <c r="L73" s="192">
        <f t="shared" si="5"/>
        <v>11920</v>
      </c>
      <c r="M73" s="192">
        <f t="shared" si="7"/>
        <v>0</v>
      </c>
      <c r="N73" s="190">
        <v>44726</v>
      </c>
      <c r="O73" s="192" t="s">
        <v>482</v>
      </c>
      <c r="P73" s="192" t="s">
        <v>483</v>
      </c>
      <c r="Q73" s="192"/>
      <c r="R73" s="192"/>
      <c r="S73" s="192"/>
    </row>
    <row r="74" spans="1:19">
      <c r="A74" s="192">
        <v>25</v>
      </c>
      <c r="B74" s="190">
        <v>44715</v>
      </c>
      <c r="C74" s="192" t="s">
        <v>387</v>
      </c>
      <c r="D74" s="192"/>
      <c r="E74" s="192" t="s">
        <v>390</v>
      </c>
      <c r="F74" s="192" t="s">
        <v>111</v>
      </c>
      <c r="G74" s="192" t="s">
        <v>391</v>
      </c>
      <c r="H74" s="192">
        <v>3980</v>
      </c>
      <c r="I74" s="192">
        <v>3980</v>
      </c>
      <c r="J74" s="192">
        <f t="shared" si="6"/>
        <v>0</v>
      </c>
      <c r="K74" s="193">
        <v>0.4</v>
      </c>
      <c r="L74" s="192">
        <f t="shared" si="5"/>
        <v>1592</v>
      </c>
      <c r="M74" s="192">
        <f t="shared" si="7"/>
        <v>0</v>
      </c>
      <c r="N74" s="190">
        <v>44726</v>
      </c>
      <c r="O74" s="192" t="s">
        <v>482</v>
      </c>
      <c r="P74" s="192" t="s">
        <v>483</v>
      </c>
      <c r="Q74" s="192"/>
      <c r="R74" s="192"/>
      <c r="S74" s="192"/>
    </row>
    <row r="75" spans="1:19">
      <c r="A75" s="192">
        <v>25</v>
      </c>
      <c r="B75" s="190">
        <v>44716</v>
      </c>
      <c r="C75" s="192" t="s">
        <v>387</v>
      </c>
      <c r="D75" s="192"/>
      <c r="E75" s="192" t="s">
        <v>392</v>
      </c>
      <c r="F75" s="192" t="s">
        <v>106</v>
      </c>
      <c r="G75" s="192" t="s">
        <v>107</v>
      </c>
      <c r="H75" s="192">
        <v>19800</v>
      </c>
      <c r="I75" s="192">
        <v>5500</v>
      </c>
      <c r="J75" s="192">
        <f t="shared" si="6"/>
        <v>14300</v>
      </c>
      <c r="K75" s="193">
        <v>0.4</v>
      </c>
      <c r="L75" s="192">
        <f t="shared" si="5"/>
        <v>2200</v>
      </c>
      <c r="M75" s="192">
        <f t="shared" si="7"/>
        <v>5720</v>
      </c>
      <c r="N75" s="190">
        <v>44726</v>
      </c>
      <c r="O75" s="192" t="s">
        <v>482</v>
      </c>
      <c r="P75" s="192" t="s">
        <v>483</v>
      </c>
      <c r="Q75" s="192"/>
      <c r="R75" s="192"/>
      <c r="S75" s="192"/>
    </row>
    <row r="76" spans="1:19">
      <c r="A76" s="192">
        <v>25</v>
      </c>
      <c r="B76" s="190">
        <v>44740</v>
      </c>
      <c r="C76" s="192" t="s">
        <v>387</v>
      </c>
      <c r="D76" s="192"/>
      <c r="E76" s="192" t="s">
        <v>392</v>
      </c>
      <c r="F76" s="192" t="s">
        <v>160</v>
      </c>
      <c r="G76" s="192" t="s">
        <v>487</v>
      </c>
      <c r="H76" s="192">
        <v>-19800</v>
      </c>
      <c r="I76" s="192">
        <v>-5500</v>
      </c>
      <c r="J76" s="192">
        <f t="shared" si="6"/>
        <v>-14300</v>
      </c>
      <c r="K76" s="193">
        <v>0.4</v>
      </c>
      <c r="L76" s="192">
        <f t="shared" si="5"/>
        <v>-2200</v>
      </c>
      <c r="M76" s="192">
        <f t="shared" si="7"/>
        <v>-5720</v>
      </c>
      <c r="N76" s="190">
        <v>44726</v>
      </c>
      <c r="O76" s="192" t="s">
        <v>482</v>
      </c>
      <c r="P76" s="192" t="s">
        <v>483</v>
      </c>
      <c r="Q76" s="192"/>
      <c r="R76" s="192"/>
      <c r="S76" s="192" t="s">
        <v>486</v>
      </c>
    </row>
    <row r="77" spans="1:19">
      <c r="A77" s="192">
        <v>25</v>
      </c>
      <c r="B77" s="190">
        <v>44716</v>
      </c>
      <c r="C77" s="192" t="s">
        <v>387</v>
      </c>
      <c r="D77" s="192"/>
      <c r="E77" s="192" t="s">
        <v>393</v>
      </c>
      <c r="F77" s="192" t="s">
        <v>106</v>
      </c>
      <c r="G77" s="192" t="s">
        <v>394</v>
      </c>
      <c r="H77" s="192">
        <v>98000</v>
      </c>
      <c r="I77" s="192">
        <v>98000</v>
      </c>
      <c r="J77" s="192">
        <f t="shared" si="6"/>
        <v>0</v>
      </c>
      <c r="K77" s="193">
        <v>0.4</v>
      </c>
      <c r="L77" s="192">
        <f t="shared" si="5"/>
        <v>39200</v>
      </c>
      <c r="M77" s="192">
        <f t="shared" si="7"/>
        <v>0</v>
      </c>
      <c r="N77" s="190">
        <v>44726</v>
      </c>
      <c r="O77" s="192" t="s">
        <v>482</v>
      </c>
      <c r="P77" s="192" t="s">
        <v>483</v>
      </c>
      <c r="Q77" s="192"/>
      <c r="R77" s="192"/>
      <c r="S77" s="192"/>
    </row>
    <row r="78" spans="1:19">
      <c r="A78" s="192">
        <v>25</v>
      </c>
      <c r="B78" s="190">
        <v>44717</v>
      </c>
      <c r="C78" s="192" t="s">
        <v>387</v>
      </c>
      <c r="D78" s="192"/>
      <c r="E78" s="192" t="s">
        <v>395</v>
      </c>
      <c r="F78" s="192" t="s">
        <v>106</v>
      </c>
      <c r="G78" s="192" t="s">
        <v>396</v>
      </c>
      <c r="H78" s="192">
        <v>22780</v>
      </c>
      <c r="I78" s="192">
        <v>22780</v>
      </c>
      <c r="J78" s="192">
        <f t="shared" si="6"/>
        <v>0</v>
      </c>
      <c r="K78" s="193">
        <v>0.4</v>
      </c>
      <c r="L78" s="192">
        <f t="shared" si="5"/>
        <v>9112</v>
      </c>
      <c r="M78" s="192">
        <f t="shared" si="7"/>
        <v>0</v>
      </c>
      <c r="N78" s="190">
        <v>44726</v>
      </c>
      <c r="O78" s="192" t="s">
        <v>482</v>
      </c>
      <c r="P78" s="192" t="s">
        <v>483</v>
      </c>
      <c r="Q78" s="192"/>
      <c r="R78" s="192"/>
      <c r="S78" s="192"/>
    </row>
    <row r="79" spans="1:19">
      <c r="A79" s="192">
        <v>25</v>
      </c>
      <c r="B79" s="190">
        <v>44718</v>
      </c>
      <c r="C79" s="192" t="s">
        <v>387</v>
      </c>
      <c r="D79" s="192"/>
      <c r="E79" s="192" t="s">
        <v>397</v>
      </c>
      <c r="F79" s="192" t="s">
        <v>111</v>
      </c>
      <c r="G79" s="192" t="s">
        <v>398</v>
      </c>
      <c r="H79" s="192">
        <v>13800</v>
      </c>
      <c r="I79" s="192">
        <v>13800</v>
      </c>
      <c r="J79" s="192">
        <f t="shared" si="6"/>
        <v>0</v>
      </c>
      <c r="K79" s="193">
        <v>0.4</v>
      </c>
      <c r="L79" s="192">
        <f t="shared" si="5"/>
        <v>5520</v>
      </c>
      <c r="M79" s="192">
        <f t="shared" si="7"/>
        <v>0</v>
      </c>
      <c r="N79" s="190">
        <v>44726</v>
      </c>
      <c r="O79" s="192" t="s">
        <v>482</v>
      </c>
      <c r="P79" s="192" t="s">
        <v>483</v>
      </c>
      <c r="Q79" s="192"/>
      <c r="R79" s="192"/>
      <c r="S79" s="192"/>
    </row>
    <row r="80" spans="1:19">
      <c r="A80" s="192">
        <v>25</v>
      </c>
      <c r="B80" s="190">
        <v>44719</v>
      </c>
      <c r="C80" s="192" t="s">
        <v>387</v>
      </c>
      <c r="D80" s="192"/>
      <c r="E80" s="192" t="s">
        <v>399</v>
      </c>
      <c r="F80" s="192" t="s">
        <v>106</v>
      </c>
      <c r="G80" s="192" t="s">
        <v>228</v>
      </c>
      <c r="H80" s="192">
        <v>33880</v>
      </c>
      <c r="I80" s="192">
        <v>33880</v>
      </c>
      <c r="J80" s="192">
        <f t="shared" si="6"/>
        <v>0</v>
      </c>
      <c r="K80" s="193">
        <v>0.4</v>
      </c>
      <c r="L80" s="192">
        <f t="shared" ref="L80:L111" si="8">I80*K80</f>
        <v>13552</v>
      </c>
      <c r="M80" s="192">
        <f t="shared" si="7"/>
        <v>0</v>
      </c>
      <c r="N80" s="190">
        <v>44726</v>
      </c>
      <c r="O80" s="192" t="s">
        <v>482</v>
      </c>
      <c r="P80" s="192" t="s">
        <v>483</v>
      </c>
      <c r="Q80" s="192"/>
      <c r="R80" s="192"/>
      <c r="S80" s="192"/>
    </row>
    <row r="81" spans="1:19">
      <c r="A81" s="192">
        <v>25</v>
      </c>
      <c r="B81" s="190">
        <v>44721</v>
      </c>
      <c r="C81" s="192" t="s">
        <v>387</v>
      </c>
      <c r="D81" s="192"/>
      <c r="E81" s="192" t="s">
        <v>400</v>
      </c>
      <c r="F81" s="192" t="s">
        <v>106</v>
      </c>
      <c r="G81" s="192" t="s">
        <v>402</v>
      </c>
      <c r="H81" s="192">
        <v>9900</v>
      </c>
      <c r="I81" s="192">
        <v>9900</v>
      </c>
      <c r="J81" s="192">
        <f t="shared" si="6"/>
        <v>0</v>
      </c>
      <c r="K81" s="193">
        <v>0.4</v>
      </c>
      <c r="L81" s="192">
        <f t="shared" si="8"/>
        <v>3960</v>
      </c>
      <c r="M81" s="192">
        <f t="shared" si="7"/>
        <v>0</v>
      </c>
      <c r="N81" s="190">
        <v>44726</v>
      </c>
      <c r="O81" s="192" t="s">
        <v>482</v>
      </c>
      <c r="P81" s="192" t="s">
        <v>483</v>
      </c>
      <c r="Q81" s="192"/>
      <c r="R81" s="192"/>
      <c r="S81" s="192"/>
    </row>
    <row r="82" spans="1:19">
      <c r="A82" s="192">
        <v>25</v>
      </c>
      <c r="B82" s="190">
        <v>44721</v>
      </c>
      <c r="C82" s="192" t="s">
        <v>387</v>
      </c>
      <c r="D82" s="192"/>
      <c r="E82" s="192" t="s">
        <v>401</v>
      </c>
      <c r="F82" s="192" t="s">
        <v>106</v>
      </c>
      <c r="G82" s="192" t="s">
        <v>402</v>
      </c>
      <c r="H82" s="192">
        <v>9900</v>
      </c>
      <c r="I82" s="192">
        <v>9900</v>
      </c>
      <c r="J82" s="192">
        <f t="shared" si="6"/>
        <v>0</v>
      </c>
      <c r="K82" s="193">
        <v>0.4</v>
      </c>
      <c r="L82" s="192">
        <f t="shared" si="8"/>
        <v>3960</v>
      </c>
      <c r="M82" s="192">
        <f t="shared" si="7"/>
        <v>0</v>
      </c>
      <c r="N82" s="190">
        <v>44726</v>
      </c>
      <c r="O82" s="192" t="s">
        <v>482</v>
      </c>
      <c r="P82" s="192" t="s">
        <v>483</v>
      </c>
      <c r="Q82" s="192"/>
      <c r="R82" s="192"/>
      <c r="S82" s="192"/>
    </row>
    <row r="83" spans="1:19">
      <c r="A83" s="192">
        <v>25</v>
      </c>
      <c r="B83" s="190">
        <v>44721</v>
      </c>
      <c r="C83" s="192" t="s">
        <v>387</v>
      </c>
      <c r="D83" s="192"/>
      <c r="E83" s="192" t="s">
        <v>403</v>
      </c>
      <c r="F83" s="192" t="s">
        <v>106</v>
      </c>
      <c r="G83" s="192" t="s">
        <v>404</v>
      </c>
      <c r="H83" s="192">
        <v>3980</v>
      </c>
      <c r="I83" s="192">
        <v>3980</v>
      </c>
      <c r="J83" s="192">
        <f t="shared" si="6"/>
        <v>0</v>
      </c>
      <c r="K83" s="193">
        <v>0.4</v>
      </c>
      <c r="L83" s="192">
        <f t="shared" si="8"/>
        <v>1592</v>
      </c>
      <c r="M83" s="192">
        <f t="shared" si="7"/>
        <v>0</v>
      </c>
      <c r="N83" s="190">
        <v>44726</v>
      </c>
      <c r="O83" s="192" t="s">
        <v>482</v>
      </c>
      <c r="P83" s="192" t="s">
        <v>483</v>
      </c>
      <c r="Q83" s="192"/>
      <c r="R83" s="192"/>
      <c r="S83" s="192"/>
    </row>
    <row r="84" spans="1:19">
      <c r="A84" s="192">
        <v>25</v>
      </c>
      <c r="B84" s="190">
        <v>44721</v>
      </c>
      <c r="C84" s="197" t="s">
        <v>387</v>
      </c>
      <c r="D84" s="197"/>
      <c r="E84" s="197" t="s">
        <v>405</v>
      </c>
      <c r="F84" s="197" t="s">
        <v>106</v>
      </c>
      <c r="G84" s="197" t="s">
        <v>402</v>
      </c>
      <c r="H84" s="197">
        <v>9900</v>
      </c>
      <c r="I84" s="197">
        <v>9900</v>
      </c>
      <c r="J84" s="197">
        <f t="shared" si="6"/>
        <v>0</v>
      </c>
      <c r="K84" s="198">
        <v>0.4</v>
      </c>
      <c r="L84" s="197">
        <f t="shared" si="8"/>
        <v>3960</v>
      </c>
      <c r="M84" s="197">
        <f t="shared" si="7"/>
        <v>0</v>
      </c>
      <c r="N84" s="196">
        <v>44726</v>
      </c>
      <c r="O84" s="197" t="s">
        <v>482</v>
      </c>
      <c r="P84" s="197" t="s">
        <v>483</v>
      </c>
      <c r="Q84" s="197"/>
      <c r="R84" s="197"/>
      <c r="S84" s="197"/>
    </row>
    <row r="85" spans="1:19">
      <c r="A85" s="192">
        <v>25</v>
      </c>
      <c r="B85" s="190">
        <v>44735</v>
      </c>
      <c r="C85" s="192" t="s">
        <v>387</v>
      </c>
      <c r="D85" s="192"/>
      <c r="E85" s="195" t="s">
        <v>457</v>
      </c>
      <c r="F85" s="192" t="s">
        <v>111</v>
      </c>
      <c r="G85" s="192" t="s">
        <v>450</v>
      </c>
      <c r="H85" s="192">
        <v>100</v>
      </c>
      <c r="I85" s="192">
        <v>100</v>
      </c>
      <c r="J85" s="192">
        <f t="shared" si="6"/>
        <v>0</v>
      </c>
      <c r="K85" s="193">
        <v>1</v>
      </c>
      <c r="L85" s="192">
        <f t="shared" si="8"/>
        <v>100</v>
      </c>
      <c r="M85" s="192">
        <v>0</v>
      </c>
      <c r="N85" s="190">
        <v>44735</v>
      </c>
      <c r="O85" s="195" t="s">
        <v>456</v>
      </c>
      <c r="P85" s="192" t="s">
        <v>454</v>
      </c>
      <c r="Q85" s="192"/>
      <c r="R85" s="192"/>
      <c r="S85" s="192"/>
    </row>
    <row r="86" spans="1:19">
      <c r="A86" s="192">
        <v>25</v>
      </c>
      <c r="B86" s="190">
        <v>44735</v>
      </c>
      <c r="C86" s="192" t="s">
        <v>387</v>
      </c>
      <c r="D86" s="192"/>
      <c r="E86" s="195" t="s">
        <v>455</v>
      </c>
      <c r="F86" s="192" t="s">
        <v>106</v>
      </c>
      <c r="G86" s="192" t="s">
        <v>107</v>
      </c>
      <c r="H86" s="192">
        <v>6900</v>
      </c>
      <c r="I86" s="192">
        <v>2000</v>
      </c>
      <c r="J86" s="192">
        <f t="shared" si="6"/>
        <v>4900</v>
      </c>
      <c r="K86" s="193">
        <v>1</v>
      </c>
      <c r="L86" s="192">
        <f t="shared" si="8"/>
        <v>2000</v>
      </c>
      <c r="M86" s="192">
        <v>0</v>
      </c>
      <c r="N86" s="190">
        <v>44735</v>
      </c>
      <c r="O86" s="195" t="s">
        <v>455</v>
      </c>
      <c r="P86" s="192" t="s">
        <v>454</v>
      </c>
      <c r="Q86" s="192"/>
      <c r="R86" s="192"/>
      <c r="S86" s="192"/>
    </row>
    <row r="87" spans="1:19">
      <c r="A87" s="192">
        <v>26</v>
      </c>
      <c r="B87" s="190">
        <v>44722</v>
      </c>
      <c r="C87" s="192" t="s">
        <v>493</v>
      </c>
      <c r="D87" s="192" t="s">
        <v>117</v>
      </c>
      <c r="E87" s="192" t="s">
        <v>122</v>
      </c>
      <c r="F87" s="192" t="s">
        <v>111</v>
      </c>
      <c r="G87" s="192" t="s">
        <v>391</v>
      </c>
      <c r="H87" s="192">
        <v>3990</v>
      </c>
      <c r="I87" s="192">
        <v>3990</v>
      </c>
      <c r="J87" s="192">
        <f t="shared" si="6"/>
        <v>0</v>
      </c>
      <c r="K87" s="193">
        <v>0.375</v>
      </c>
      <c r="L87" s="192">
        <f t="shared" si="8"/>
        <v>1496.25</v>
      </c>
      <c r="M87" s="192">
        <f t="shared" ref="M87:M150" si="9">J87*K87</f>
        <v>0</v>
      </c>
      <c r="N87" s="190">
        <v>44725</v>
      </c>
      <c r="O87" s="192" t="s">
        <v>220</v>
      </c>
      <c r="P87" s="192" t="s">
        <v>734</v>
      </c>
      <c r="Q87" s="191" t="b">
        <v>1</v>
      </c>
      <c r="R87" s="191" t="s">
        <v>737</v>
      </c>
      <c r="S87" s="192" t="s">
        <v>230</v>
      </c>
    </row>
    <row r="88" spans="1:19">
      <c r="A88" s="192">
        <v>26</v>
      </c>
      <c r="B88" s="190">
        <v>44723</v>
      </c>
      <c r="C88" s="192" t="s">
        <v>493</v>
      </c>
      <c r="D88" s="192" t="s">
        <v>708</v>
      </c>
      <c r="E88" s="192" t="s">
        <v>139</v>
      </c>
      <c r="F88" s="192" t="s">
        <v>106</v>
      </c>
      <c r="G88" s="192" t="s">
        <v>406</v>
      </c>
      <c r="H88" s="192">
        <v>19800</v>
      </c>
      <c r="I88" s="192">
        <v>19800</v>
      </c>
      <c r="J88" s="192">
        <f t="shared" si="6"/>
        <v>0</v>
      </c>
      <c r="K88" s="193">
        <v>0.375</v>
      </c>
      <c r="L88" s="192">
        <f t="shared" si="8"/>
        <v>7425</v>
      </c>
      <c r="M88" s="192">
        <f t="shared" si="9"/>
        <v>0</v>
      </c>
      <c r="N88" s="190">
        <v>44725</v>
      </c>
      <c r="O88" s="192" t="s">
        <v>220</v>
      </c>
      <c r="P88" s="192" t="s">
        <v>734</v>
      </c>
      <c r="Q88" s="191" t="b">
        <v>1</v>
      </c>
      <c r="R88" s="191" t="s">
        <v>737</v>
      </c>
      <c r="S88" s="192" t="s">
        <v>230</v>
      </c>
    </row>
    <row r="89" spans="1:19">
      <c r="A89" s="192">
        <v>26</v>
      </c>
      <c r="B89" s="190">
        <v>44723</v>
      </c>
      <c r="C89" s="192" t="s">
        <v>493</v>
      </c>
      <c r="D89" s="192" t="s">
        <v>708</v>
      </c>
      <c r="E89" s="192" t="s">
        <v>139</v>
      </c>
      <c r="F89" s="192" t="s">
        <v>106</v>
      </c>
      <c r="G89" s="192" t="s">
        <v>407</v>
      </c>
      <c r="H89" s="192">
        <v>39800</v>
      </c>
      <c r="I89" s="192">
        <v>39800</v>
      </c>
      <c r="J89" s="192">
        <f t="shared" si="6"/>
        <v>0</v>
      </c>
      <c r="K89" s="193">
        <v>0.375</v>
      </c>
      <c r="L89" s="192">
        <f t="shared" si="8"/>
        <v>14925</v>
      </c>
      <c r="M89" s="192">
        <f t="shared" si="9"/>
        <v>0</v>
      </c>
      <c r="N89" s="190">
        <v>44725</v>
      </c>
      <c r="O89" s="192" t="s">
        <v>220</v>
      </c>
      <c r="P89" s="192" t="s">
        <v>734</v>
      </c>
      <c r="Q89" s="191" t="b">
        <v>1</v>
      </c>
      <c r="R89" s="191" t="s">
        <v>737</v>
      </c>
      <c r="S89" s="192" t="s">
        <v>230</v>
      </c>
    </row>
    <row r="90" spans="1:19">
      <c r="A90" s="192">
        <v>26</v>
      </c>
      <c r="B90" s="190">
        <v>44723</v>
      </c>
      <c r="C90" s="192" t="s">
        <v>493</v>
      </c>
      <c r="D90" s="192" t="s">
        <v>708</v>
      </c>
      <c r="E90" s="192" t="s">
        <v>139</v>
      </c>
      <c r="F90" s="192" t="s">
        <v>111</v>
      </c>
      <c r="G90" s="192" t="s">
        <v>408</v>
      </c>
      <c r="H90" s="192">
        <v>3440</v>
      </c>
      <c r="I90" s="192">
        <v>3440</v>
      </c>
      <c r="J90" s="192">
        <f t="shared" si="6"/>
        <v>0</v>
      </c>
      <c r="K90" s="193">
        <v>0.375</v>
      </c>
      <c r="L90" s="192">
        <f t="shared" si="8"/>
        <v>1290</v>
      </c>
      <c r="M90" s="192">
        <f t="shared" si="9"/>
        <v>0</v>
      </c>
      <c r="N90" s="190">
        <v>44725</v>
      </c>
      <c r="O90" s="192" t="s">
        <v>220</v>
      </c>
      <c r="P90" s="192" t="s">
        <v>734</v>
      </c>
      <c r="Q90" s="191" t="b">
        <v>1</v>
      </c>
      <c r="R90" s="191" t="s">
        <v>737</v>
      </c>
      <c r="S90" s="192" t="s">
        <v>230</v>
      </c>
    </row>
    <row r="91" spans="1:19">
      <c r="A91" s="192">
        <v>26</v>
      </c>
      <c r="B91" s="190">
        <v>44723</v>
      </c>
      <c r="C91" s="192" t="s">
        <v>493</v>
      </c>
      <c r="D91" s="192" t="s">
        <v>708</v>
      </c>
      <c r="E91" s="192" t="s">
        <v>409</v>
      </c>
      <c r="F91" s="192" t="s">
        <v>106</v>
      </c>
      <c r="G91" s="192" t="s">
        <v>410</v>
      </c>
      <c r="H91" s="192">
        <v>9900</v>
      </c>
      <c r="I91" s="192">
        <v>5000</v>
      </c>
      <c r="J91" s="192">
        <f t="shared" si="6"/>
        <v>4900</v>
      </c>
      <c r="K91" s="193">
        <v>0.375</v>
      </c>
      <c r="L91" s="192">
        <f t="shared" si="8"/>
        <v>1875</v>
      </c>
      <c r="M91" s="192">
        <f t="shared" si="9"/>
        <v>1837.5</v>
      </c>
      <c r="N91" s="190">
        <v>44725</v>
      </c>
      <c r="O91" s="192" t="s">
        <v>220</v>
      </c>
      <c r="P91" s="192" t="s">
        <v>734</v>
      </c>
      <c r="Q91" s="191" t="b">
        <v>1</v>
      </c>
      <c r="R91" s="191" t="s">
        <v>737</v>
      </c>
      <c r="S91" s="192" t="s">
        <v>230</v>
      </c>
    </row>
    <row r="92" spans="1:19">
      <c r="A92" s="192">
        <v>26</v>
      </c>
      <c r="B92" s="190">
        <v>44723</v>
      </c>
      <c r="C92" s="192" t="s">
        <v>493</v>
      </c>
      <c r="D92" s="192" t="s">
        <v>708</v>
      </c>
      <c r="E92" s="192" t="s">
        <v>413</v>
      </c>
      <c r="F92" s="192" t="s">
        <v>152</v>
      </c>
      <c r="G92" s="192" t="s">
        <v>414</v>
      </c>
      <c r="H92" s="192">
        <v>10000</v>
      </c>
      <c r="I92" s="192">
        <v>10000</v>
      </c>
      <c r="J92" s="192">
        <f t="shared" si="6"/>
        <v>0</v>
      </c>
      <c r="K92" s="193">
        <v>0.375</v>
      </c>
      <c r="L92" s="192">
        <f t="shared" si="8"/>
        <v>3750</v>
      </c>
      <c r="M92" s="192">
        <f t="shared" si="9"/>
        <v>0</v>
      </c>
      <c r="N92" s="190">
        <v>44725</v>
      </c>
      <c r="O92" s="192" t="s">
        <v>220</v>
      </c>
      <c r="P92" s="192" t="s">
        <v>734</v>
      </c>
      <c r="Q92" s="191" t="b">
        <v>1</v>
      </c>
      <c r="R92" s="191" t="s">
        <v>737</v>
      </c>
      <c r="S92" s="192" t="s">
        <v>230</v>
      </c>
    </row>
    <row r="93" spans="1:19">
      <c r="A93" s="192">
        <v>26</v>
      </c>
      <c r="B93" s="190">
        <v>44724</v>
      </c>
      <c r="C93" s="192" t="s">
        <v>493</v>
      </c>
      <c r="D93" s="192" t="s">
        <v>709</v>
      </c>
      <c r="E93" s="192" t="s">
        <v>416</v>
      </c>
      <c r="F93" s="192" t="s">
        <v>106</v>
      </c>
      <c r="G93" s="192" t="s">
        <v>417</v>
      </c>
      <c r="H93" s="192">
        <v>13760</v>
      </c>
      <c r="I93" s="192">
        <v>13760</v>
      </c>
      <c r="J93" s="192">
        <f t="shared" si="6"/>
        <v>0</v>
      </c>
      <c r="K93" s="193">
        <v>0.375</v>
      </c>
      <c r="L93" s="192">
        <f t="shared" si="8"/>
        <v>5160</v>
      </c>
      <c r="M93" s="192">
        <f t="shared" si="9"/>
        <v>0</v>
      </c>
      <c r="N93" s="190">
        <v>44725</v>
      </c>
      <c r="O93" s="192" t="s">
        <v>220</v>
      </c>
      <c r="P93" s="192" t="s">
        <v>734</v>
      </c>
      <c r="Q93" s="191" t="b">
        <v>1</v>
      </c>
      <c r="R93" s="191" t="s">
        <v>737</v>
      </c>
      <c r="S93" s="192" t="s">
        <v>230</v>
      </c>
    </row>
    <row r="94" spans="1:19">
      <c r="A94" s="192">
        <v>26</v>
      </c>
      <c r="B94" s="190">
        <v>44724</v>
      </c>
      <c r="C94" s="192" t="s">
        <v>493</v>
      </c>
      <c r="D94" s="192" t="s">
        <v>709</v>
      </c>
      <c r="E94" s="192" t="s">
        <v>418</v>
      </c>
      <c r="F94" s="192" t="s">
        <v>106</v>
      </c>
      <c r="G94" s="192" t="s">
        <v>123</v>
      </c>
      <c r="H94" s="192">
        <v>49800</v>
      </c>
      <c r="I94" s="192">
        <v>49800</v>
      </c>
      <c r="J94" s="192">
        <f t="shared" si="6"/>
        <v>0</v>
      </c>
      <c r="K94" s="193">
        <v>0.375</v>
      </c>
      <c r="L94" s="192">
        <f t="shared" si="8"/>
        <v>18675</v>
      </c>
      <c r="M94" s="192">
        <f t="shared" si="9"/>
        <v>0</v>
      </c>
      <c r="N94" s="190">
        <v>44725</v>
      </c>
      <c r="O94" s="192" t="s">
        <v>220</v>
      </c>
      <c r="P94" s="192" t="s">
        <v>734</v>
      </c>
      <c r="Q94" s="191" t="b">
        <v>1</v>
      </c>
      <c r="R94" s="191" t="s">
        <v>737</v>
      </c>
      <c r="S94" s="192" t="s">
        <v>230</v>
      </c>
    </row>
    <row r="95" spans="1:19">
      <c r="A95" s="192">
        <v>26</v>
      </c>
      <c r="B95" s="190">
        <v>44724</v>
      </c>
      <c r="C95" s="192" t="s">
        <v>493</v>
      </c>
      <c r="D95" s="192" t="s">
        <v>709</v>
      </c>
      <c r="E95" s="192" t="s">
        <v>419</v>
      </c>
      <c r="F95" s="192" t="s">
        <v>106</v>
      </c>
      <c r="G95" s="192" t="s">
        <v>404</v>
      </c>
      <c r="H95" s="192">
        <v>3980</v>
      </c>
      <c r="I95" s="192">
        <v>3980</v>
      </c>
      <c r="J95" s="192">
        <f t="shared" si="6"/>
        <v>0</v>
      </c>
      <c r="K95" s="193">
        <v>0.375</v>
      </c>
      <c r="L95" s="192">
        <f t="shared" si="8"/>
        <v>1492.5</v>
      </c>
      <c r="M95" s="192">
        <f t="shared" si="9"/>
        <v>0</v>
      </c>
      <c r="N95" s="190">
        <v>44725</v>
      </c>
      <c r="O95" s="192" t="s">
        <v>220</v>
      </c>
      <c r="P95" s="192" t="s">
        <v>734</v>
      </c>
      <c r="Q95" s="191" t="b">
        <v>1</v>
      </c>
      <c r="R95" s="191" t="s">
        <v>737</v>
      </c>
      <c r="S95" s="192" t="s">
        <v>230</v>
      </c>
    </row>
    <row r="96" spans="1:19">
      <c r="A96" s="192">
        <v>26</v>
      </c>
      <c r="B96" s="190">
        <v>44725</v>
      </c>
      <c r="C96" s="192" t="s">
        <v>493</v>
      </c>
      <c r="D96" s="192" t="s">
        <v>708</v>
      </c>
      <c r="E96" s="192" t="s">
        <v>139</v>
      </c>
      <c r="F96" s="192" t="s">
        <v>111</v>
      </c>
      <c r="G96" s="192" t="s">
        <v>423</v>
      </c>
      <c r="H96" s="192">
        <v>6880</v>
      </c>
      <c r="I96" s="192">
        <v>6880</v>
      </c>
      <c r="J96" s="192">
        <f t="shared" ref="J96:J127" si="10">H96-I96</f>
        <v>0</v>
      </c>
      <c r="K96" s="193">
        <v>0.375</v>
      </c>
      <c r="L96" s="192">
        <f t="shared" si="8"/>
        <v>2580</v>
      </c>
      <c r="M96" s="192">
        <f t="shared" si="9"/>
        <v>0</v>
      </c>
      <c r="N96" s="190">
        <v>44732</v>
      </c>
      <c r="O96" s="192" t="s">
        <v>220</v>
      </c>
      <c r="P96" s="192" t="s">
        <v>734</v>
      </c>
      <c r="Q96" s="191" t="b">
        <v>1</v>
      </c>
      <c r="R96" s="191" t="s">
        <v>737</v>
      </c>
      <c r="S96" s="192" t="s">
        <v>230</v>
      </c>
    </row>
    <row r="97" spans="1:19">
      <c r="A97" s="192">
        <v>26</v>
      </c>
      <c r="B97" s="190">
        <v>44725</v>
      </c>
      <c r="C97" s="192" t="s">
        <v>493</v>
      </c>
      <c r="D97" s="192" t="s">
        <v>708</v>
      </c>
      <c r="E97" s="192" t="s">
        <v>424</v>
      </c>
      <c r="F97" s="192" t="s">
        <v>106</v>
      </c>
      <c r="G97" s="192" t="s">
        <v>404</v>
      </c>
      <c r="H97" s="192">
        <v>3980</v>
      </c>
      <c r="I97" s="192">
        <v>3980</v>
      </c>
      <c r="J97" s="192">
        <f t="shared" si="10"/>
        <v>0</v>
      </c>
      <c r="K97" s="193">
        <v>0.375</v>
      </c>
      <c r="L97" s="192">
        <f t="shared" si="8"/>
        <v>1492.5</v>
      </c>
      <c r="M97" s="192">
        <f t="shared" si="9"/>
        <v>0</v>
      </c>
      <c r="N97" s="190">
        <v>44732</v>
      </c>
      <c r="O97" s="192" t="s">
        <v>220</v>
      </c>
      <c r="P97" s="192" t="s">
        <v>734</v>
      </c>
      <c r="Q97" s="191" t="b">
        <v>1</v>
      </c>
      <c r="R97" s="191" t="s">
        <v>737</v>
      </c>
      <c r="S97" s="192" t="s">
        <v>230</v>
      </c>
    </row>
    <row r="98" spans="1:19">
      <c r="A98" s="192">
        <v>27</v>
      </c>
      <c r="B98" s="190">
        <v>44723</v>
      </c>
      <c r="C98" s="192" t="s">
        <v>411</v>
      </c>
      <c r="D98" s="192"/>
      <c r="E98" s="192" t="s">
        <v>412</v>
      </c>
      <c r="F98" s="192" t="s">
        <v>106</v>
      </c>
      <c r="G98" s="192" t="s">
        <v>107</v>
      </c>
      <c r="H98" s="192">
        <v>13800</v>
      </c>
      <c r="I98" s="192">
        <v>13800</v>
      </c>
      <c r="J98" s="192">
        <f t="shared" si="10"/>
        <v>0</v>
      </c>
      <c r="K98" s="193">
        <v>0.5</v>
      </c>
      <c r="L98" s="192">
        <f t="shared" si="8"/>
        <v>6900</v>
      </c>
      <c r="M98" s="192">
        <f t="shared" si="9"/>
        <v>0</v>
      </c>
      <c r="N98" s="190">
        <v>44723</v>
      </c>
      <c r="O98" s="192" t="s">
        <v>415</v>
      </c>
      <c r="P98" s="192" t="s">
        <v>734</v>
      </c>
      <c r="Q98" s="191" t="b">
        <v>1</v>
      </c>
      <c r="R98" s="191" t="s">
        <v>737</v>
      </c>
      <c r="S98" s="192" t="s">
        <v>230</v>
      </c>
    </row>
    <row r="99" spans="1:19">
      <c r="A99" s="192">
        <v>28</v>
      </c>
      <c r="B99" s="190">
        <v>44724</v>
      </c>
      <c r="C99" s="192" t="s">
        <v>733</v>
      </c>
      <c r="D99" s="192"/>
      <c r="E99" s="192" t="s">
        <v>420</v>
      </c>
      <c r="F99" s="192" t="s">
        <v>106</v>
      </c>
      <c r="G99" s="192" t="s">
        <v>402</v>
      </c>
      <c r="H99" s="192">
        <v>6000</v>
      </c>
      <c r="I99" s="192">
        <v>6000</v>
      </c>
      <c r="J99" s="192">
        <f t="shared" si="10"/>
        <v>0</v>
      </c>
      <c r="K99" s="193">
        <v>0.5</v>
      </c>
      <c r="L99" s="192">
        <f t="shared" si="8"/>
        <v>3000</v>
      </c>
      <c r="M99" s="192">
        <f t="shared" si="9"/>
        <v>0</v>
      </c>
      <c r="N99" s="190">
        <v>44724</v>
      </c>
      <c r="O99" s="192" t="s">
        <v>422</v>
      </c>
      <c r="P99" s="192" t="s">
        <v>116</v>
      </c>
      <c r="Q99" s="192"/>
      <c r="R99" s="192"/>
      <c r="S99" s="192" t="s">
        <v>421</v>
      </c>
    </row>
    <row r="100" spans="1:19">
      <c r="A100" s="192">
        <v>29</v>
      </c>
      <c r="B100" s="190">
        <v>44725</v>
      </c>
      <c r="C100" s="192" t="s">
        <v>387</v>
      </c>
      <c r="D100" s="192"/>
      <c r="E100" s="192" t="s">
        <v>389</v>
      </c>
      <c r="F100" s="192" t="s">
        <v>185</v>
      </c>
      <c r="G100" s="192" t="s">
        <v>485</v>
      </c>
      <c r="H100" s="192">
        <v>0</v>
      </c>
      <c r="I100" s="192">
        <v>11940</v>
      </c>
      <c r="J100" s="192">
        <f t="shared" si="10"/>
        <v>-11940</v>
      </c>
      <c r="K100" s="193">
        <v>0.4</v>
      </c>
      <c r="L100" s="192">
        <f t="shared" si="8"/>
        <v>4776</v>
      </c>
      <c r="M100" s="192">
        <f t="shared" si="9"/>
        <v>-4776</v>
      </c>
      <c r="N100" s="190">
        <v>44743</v>
      </c>
      <c r="O100" s="192" t="s">
        <v>482</v>
      </c>
      <c r="P100" s="192" t="s">
        <v>116</v>
      </c>
      <c r="Q100" s="192"/>
      <c r="R100" s="192"/>
      <c r="S100" s="192"/>
    </row>
    <row r="101" spans="1:19">
      <c r="A101" s="192">
        <v>29</v>
      </c>
      <c r="B101" s="190">
        <v>44725</v>
      </c>
      <c r="C101" s="192" t="s">
        <v>387</v>
      </c>
      <c r="D101" s="192"/>
      <c r="E101" s="192" t="s">
        <v>425</v>
      </c>
      <c r="F101" s="192" t="s">
        <v>106</v>
      </c>
      <c r="G101" s="192" t="s">
        <v>226</v>
      </c>
      <c r="H101" s="192">
        <v>11040</v>
      </c>
      <c r="I101" s="192">
        <v>11040</v>
      </c>
      <c r="J101" s="192">
        <f t="shared" si="10"/>
        <v>0</v>
      </c>
      <c r="K101" s="193">
        <v>0.4</v>
      </c>
      <c r="L101" s="192">
        <f t="shared" si="8"/>
        <v>4416</v>
      </c>
      <c r="M101" s="192">
        <f t="shared" si="9"/>
        <v>0</v>
      </c>
      <c r="N101" s="190">
        <v>44743</v>
      </c>
      <c r="O101" s="192" t="s">
        <v>482</v>
      </c>
      <c r="P101" s="192" t="s">
        <v>116</v>
      </c>
      <c r="Q101" s="192"/>
      <c r="R101" s="192"/>
      <c r="S101" s="192"/>
    </row>
    <row r="102" spans="1:19">
      <c r="A102" s="192">
        <v>29</v>
      </c>
      <c r="B102" s="190">
        <v>44725</v>
      </c>
      <c r="C102" s="192" t="s">
        <v>387</v>
      </c>
      <c r="D102" s="192"/>
      <c r="E102" s="192" t="s">
        <v>426</v>
      </c>
      <c r="F102" s="192" t="s">
        <v>106</v>
      </c>
      <c r="G102" s="192" t="s">
        <v>123</v>
      </c>
      <c r="H102" s="192">
        <v>39800</v>
      </c>
      <c r="I102" s="192">
        <v>39800</v>
      </c>
      <c r="J102" s="192">
        <f t="shared" si="10"/>
        <v>0</v>
      </c>
      <c r="K102" s="193">
        <v>0.4</v>
      </c>
      <c r="L102" s="192">
        <f t="shared" si="8"/>
        <v>15920</v>
      </c>
      <c r="M102" s="192">
        <f t="shared" si="9"/>
        <v>0</v>
      </c>
      <c r="N102" s="190">
        <v>44743</v>
      </c>
      <c r="O102" s="192" t="s">
        <v>482</v>
      </c>
      <c r="P102" s="192" t="s">
        <v>116</v>
      </c>
      <c r="Q102" s="192"/>
      <c r="R102" s="192"/>
      <c r="S102" s="192"/>
    </row>
    <row r="103" spans="1:19" ht="15" customHeight="1">
      <c r="A103" s="192">
        <v>29</v>
      </c>
      <c r="B103" s="190">
        <v>44725</v>
      </c>
      <c r="C103" s="192" t="s">
        <v>387</v>
      </c>
      <c r="D103" s="192"/>
      <c r="E103" s="192" t="s">
        <v>427</v>
      </c>
      <c r="F103" s="192" t="s">
        <v>106</v>
      </c>
      <c r="G103" s="192" t="s">
        <v>404</v>
      </c>
      <c r="H103" s="192">
        <v>2980</v>
      </c>
      <c r="I103" s="192">
        <v>2980</v>
      </c>
      <c r="J103" s="192">
        <f t="shared" si="10"/>
        <v>0</v>
      </c>
      <c r="K103" s="193">
        <v>0.4</v>
      </c>
      <c r="L103" s="192">
        <f t="shared" si="8"/>
        <v>1192</v>
      </c>
      <c r="M103" s="192">
        <f t="shared" si="9"/>
        <v>0</v>
      </c>
      <c r="N103" s="190">
        <v>44743</v>
      </c>
      <c r="O103" s="192" t="s">
        <v>482</v>
      </c>
      <c r="P103" s="192" t="s">
        <v>116</v>
      </c>
      <c r="Q103" s="192"/>
      <c r="R103" s="192"/>
      <c r="S103" s="192"/>
    </row>
    <row r="104" spans="1:19">
      <c r="A104" s="192">
        <v>29</v>
      </c>
      <c r="B104" s="190">
        <v>44726</v>
      </c>
      <c r="C104" s="192" t="s">
        <v>387</v>
      </c>
      <c r="D104" s="192"/>
      <c r="E104" s="192" t="s">
        <v>431</v>
      </c>
      <c r="F104" s="192" t="s">
        <v>106</v>
      </c>
      <c r="G104" s="192" t="s">
        <v>226</v>
      </c>
      <c r="H104" s="192">
        <v>11940</v>
      </c>
      <c r="I104" s="192">
        <v>11940</v>
      </c>
      <c r="J104" s="192">
        <f t="shared" si="10"/>
        <v>0</v>
      </c>
      <c r="K104" s="193">
        <v>0.4</v>
      </c>
      <c r="L104" s="192">
        <f t="shared" si="8"/>
        <v>4776</v>
      </c>
      <c r="M104" s="192">
        <f t="shared" si="9"/>
        <v>0</v>
      </c>
      <c r="N104" s="190">
        <v>44743</v>
      </c>
      <c r="O104" s="192" t="s">
        <v>482</v>
      </c>
      <c r="P104" s="192" t="s">
        <v>116</v>
      </c>
      <c r="Q104" s="192"/>
      <c r="R104" s="192"/>
      <c r="S104" s="192"/>
    </row>
    <row r="105" spans="1:19" ht="15" customHeight="1">
      <c r="A105" s="192">
        <v>29</v>
      </c>
      <c r="B105" s="190">
        <v>44728</v>
      </c>
      <c r="C105" s="192" t="s">
        <v>387</v>
      </c>
      <c r="D105" s="192"/>
      <c r="E105" s="192" t="s">
        <v>432</v>
      </c>
      <c r="F105" s="192" t="s">
        <v>106</v>
      </c>
      <c r="G105" s="192" t="s">
        <v>433</v>
      </c>
      <c r="H105" s="192">
        <v>6600</v>
      </c>
      <c r="I105" s="192">
        <v>6600</v>
      </c>
      <c r="J105" s="192">
        <f t="shared" si="10"/>
        <v>0</v>
      </c>
      <c r="K105" s="193">
        <v>0.4</v>
      </c>
      <c r="L105" s="192">
        <f t="shared" si="8"/>
        <v>2640</v>
      </c>
      <c r="M105" s="192">
        <f t="shared" si="9"/>
        <v>0</v>
      </c>
      <c r="N105" s="190">
        <v>44743</v>
      </c>
      <c r="O105" s="192" t="s">
        <v>482</v>
      </c>
      <c r="P105" s="192" t="s">
        <v>116</v>
      </c>
      <c r="Q105" s="192"/>
      <c r="R105" s="192"/>
      <c r="S105" s="192"/>
    </row>
    <row r="106" spans="1:19">
      <c r="A106" s="192">
        <v>29</v>
      </c>
      <c r="B106" s="190">
        <v>44728</v>
      </c>
      <c r="C106" s="192" t="s">
        <v>387</v>
      </c>
      <c r="D106" s="192"/>
      <c r="E106" s="192" t="s">
        <v>434</v>
      </c>
      <c r="F106" s="192" t="s">
        <v>106</v>
      </c>
      <c r="G106" s="192" t="s">
        <v>435</v>
      </c>
      <c r="H106" s="192">
        <v>7960</v>
      </c>
      <c r="I106" s="192">
        <v>7960</v>
      </c>
      <c r="J106" s="192">
        <f t="shared" si="10"/>
        <v>0</v>
      </c>
      <c r="K106" s="193">
        <v>0.4</v>
      </c>
      <c r="L106" s="192">
        <f t="shared" si="8"/>
        <v>3184</v>
      </c>
      <c r="M106" s="192">
        <f t="shared" si="9"/>
        <v>0</v>
      </c>
      <c r="N106" s="190">
        <v>44743</v>
      </c>
      <c r="O106" s="192" t="s">
        <v>482</v>
      </c>
      <c r="P106" s="192" t="s">
        <v>116</v>
      </c>
      <c r="Q106" s="192"/>
      <c r="R106" s="192"/>
      <c r="S106" s="192"/>
    </row>
    <row r="107" spans="1:19">
      <c r="A107" s="192">
        <v>29</v>
      </c>
      <c r="B107" s="190">
        <v>44728</v>
      </c>
      <c r="C107" s="192" t="s">
        <v>387</v>
      </c>
      <c r="D107" s="192"/>
      <c r="E107" s="192" t="s">
        <v>436</v>
      </c>
      <c r="F107" s="192" t="s">
        <v>106</v>
      </c>
      <c r="G107" s="192" t="s">
        <v>404</v>
      </c>
      <c r="H107" s="192">
        <v>6880</v>
      </c>
      <c r="I107" s="192">
        <v>6880</v>
      </c>
      <c r="J107" s="192">
        <f t="shared" si="10"/>
        <v>0</v>
      </c>
      <c r="K107" s="193">
        <v>0.4</v>
      </c>
      <c r="L107" s="192">
        <f t="shared" si="8"/>
        <v>2752</v>
      </c>
      <c r="M107" s="192">
        <f t="shared" si="9"/>
        <v>0</v>
      </c>
      <c r="N107" s="190">
        <v>44743</v>
      </c>
      <c r="O107" s="192" t="s">
        <v>482</v>
      </c>
      <c r="P107" s="192" t="s">
        <v>116</v>
      </c>
      <c r="Q107" s="192"/>
      <c r="R107" s="192"/>
      <c r="S107" s="192"/>
    </row>
    <row r="108" spans="1:19">
      <c r="A108" s="192">
        <v>29</v>
      </c>
      <c r="B108" s="190">
        <v>44729</v>
      </c>
      <c r="C108" s="192" t="s">
        <v>387</v>
      </c>
      <c r="D108" s="192"/>
      <c r="E108" s="192" t="s">
        <v>437</v>
      </c>
      <c r="F108" s="192" t="s">
        <v>106</v>
      </c>
      <c r="G108" s="192" t="s">
        <v>404</v>
      </c>
      <c r="H108" s="192">
        <v>2680</v>
      </c>
      <c r="I108" s="192">
        <v>2680</v>
      </c>
      <c r="J108" s="192">
        <f t="shared" si="10"/>
        <v>0</v>
      </c>
      <c r="K108" s="193">
        <v>0.4</v>
      </c>
      <c r="L108" s="192">
        <f t="shared" si="8"/>
        <v>1072</v>
      </c>
      <c r="M108" s="192">
        <f t="shared" si="9"/>
        <v>0</v>
      </c>
      <c r="N108" s="190">
        <v>44743</v>
      </c>
      <c r="O108" s="192" t="s">
        <v>482</v>
      </c>
      <c r="P108" s="192" t="s">
        <v>116</v>
      </c>
      <c r="Q108" s="192"/>
      <c r="R108" s="192"/>
      <c r="S108" s="192"/>
    </row>
    <row r="109" spans="1:19">
      <c r="A109" s="192">
        <v>29</v>
      </c>
      <c r="B109" s="190">
        <v>44730</v>
      </c>
      <c r="C109" s="192" t="s">
        <v>387</v>
      </c>
      <c r="D109" s="192"/>
      <c r="E109" s="192" t="s">
        <v>442</v>
      </c>
      <c r="F109" s="192" t="s">
        <v>106</v>
      </c>
      <c r="G109" s="192" t="s">
        <v>443</v>
      </c>
      <c r="H109" s="192">
        <v>6880</v>
      </c>
      <c r="I109" s="192">
        <v>6880</v>
      </c>
      <c r="J109" s="192">
        <f t="shared" si="10"/>
        <v>0</v>
      </c>
      <c r="K109" s="193">
        <v>0.4</v>
      </c>
      <c r="L109" s="192">
        <f t="shared" si="8"/>
        <v>2752</v>
      </c>
      <c r="M109" s="192">
        <f t="shared" si="9"/>
        <v>0</v>
      </c>
      <c r="N109" s="190">
        <v>44743</v>
      </c>
      <c r="O109" s="192" t="s">
        <v>482</v>
      </c>
      <c r="P109" s="192" t="s">
        <v>116</v>
      </c>
      <c r="Q109" s="192"/>
      <c r="R109" s="192"/>
      <c r="S109" s="192"/>
    </row>
    <row r="110" spans="1:19" ht="15" customHeight="1">
      <c r="A110" s="192">
        <v>29</v>
      </c>
      <c r="B110" s="190">
        <v>44730</v>
      </c>
      <c r="C110" s="192" t="s">
        <v>387</v>
      </c>
      <c r="D110" s="192"/>
      <c r="E110" s="192" t="s">
        <v>444</v>
      </c>
      <c r="F110" s="192" t="s">
        <v>106</v>
      </c>
      <c r="G110" s="192" t="s">
        <v>404</v>
      </c>
      <c r="H110" s="192">
        <v>6262</v>
      </c>
      <c r="I110" s="192">
        <v>3262</v>
      </c>
      <c r="J110" s="192">
        <f t="shared" si="10"/>
        <v>3000</v>
      </c>
      <c r="K110" s="193">
        <v>0.4</v>
      </c>
      <c r="L110" s="192">
        <f t="shared" si="8"/>
        <v>1304.8000000000002</v>
      </c>
      <c r="M110" s="192">
        <f t="shared" si="9"/>
        <v>1200</v>
      </c>
      <c r="N110" s="190">
        <v>44743</v>
      </c>
      <c r="O110" s="192" t="s">
        <v>482</v>
      </c>
      <c r="P110" s="192" t="s">
        <v>116</v>
      </c>
      <c r="Q110" s="192"/>
      <c r="R110" s="192"/>
      <c r="S110" s="192"/>
    </row>
    <row r="111" spans="1:19">
      <c r="A111" s="192">
        <v>29</v>
      </c>
      <c r="B111" s="190">
        <v>44730</v>
      </c>
      <c r="C111" s="192" t="s">
        <v>387</v>
      </c>
      <c r="D111" s="192"/>
      <c r="E111" s="192" t="s">
        <v>445</v>
      </c>
      <c r="F111" s="192" t="s">
        <v>106</v>
      </c>
      <c r="G111" s="192" t="s">
        <v>417</v>
      </c>
      <c r="H111" s="192">
        <v>6000</v>
      </c>
      <c r="I111" s="192">
        <v>6000</v>
      </c>
      <c r="J111" s="192">
        <f t="shared" si="10"/>
        <v>0</v>
      </c>
      <c r="K111" s="193">
        <v>0.4</v>
      </c>
      <c r="L111" s="192">
        <f t="shared" si="8"/>
        <v>2400</v>
      </c>
      <c r="M111" s="192">
        <f t="shared" si="9"/>
        <v>0</v>
      </c>
      <c r="N111" s="190">
        <v>44743</v>
      </c>
      <c r="O111" s="192" t="s">
        <v>482</v>
      </c>
      <c r="P111" s="192" t="s">
        <v>116</v>
      </c>
      <c r="Q111" s="192"/>
      <c r="R111" s="192"/>
      <c r="S111" s="192"/>
    </row>
    <row r="112" spans="1:19" ht="15" customHeight="1">
      <c r="A112" s="192">
        <v>29</v>
      </c>
      <c r="B112" s="190">
        <v>44730</v>
      </c>
      <c r="C112" s="192" t="s">
        <v>387</v>
      </c>
      <c r="D112" s="192"/>
      <c r="E112" s="192" t="s">
        <v>446</v>
      </c>
      <c r="F112" s="192" t="s">
        <v>106</v>
      </c>
      <c r="G112" s="192" t="s">
        <v>107</v>
      </c>
      <c r="H112" s="192">
        <v>29800</v>
      </c>
      <c r="I112" s="192">
        <v>5000</v>
      </c>
      <c r="J112" s="192">
        <f t="shared" si="10"/>
        <v>24800</v>
      </c>
      <c r="K112" s="193">
        <v>0.4</v>
      </c>
      <c r="L112" s="192">
        <f t="shared" ref="L112:L143" si="11">I112*K112</f>
        <v>2000</v>
      </c>
      <c r="M112" s="192">
        <f t="shared" si="9"/>
        <v>9920</v>
      </c>
      <c r="N112" s="190">
        <v>44743</v>
      </c>
      <c r="O112" s="192" t="s">
        <v>482</v>
      </c>
      <c r="P112" s="192" t="s">
        <v>116</v>
      </c>
      <c r="Q112" s="192"/>
      <c r="R112" s="192"/>
      <c r="S112" s="192"/>
    </row>
    <row r="113" spans="1:19">
      <c r="A113" s="192">
        <v>29</v>
      </c>
      <c r="B113" s="190">
        <v>44731</v>
      </c>
      <c r="C113" s="192" t="s">
        <v>387</v>
      </c>
      <c r="D113" s="192"/>
      <c r="E113" s="192" t="s">
        <v>447</v>
      </c>
      <c r="F113" s="192" t="s">
        <v>106</v>
      </c>
      <c r="G113" s="192" t="s">
        <v>226</v>
      </c>
      <c r="H113" s="192">
        <v>9000</v>
      </c>
      <c r="I113" s="192">
        <v>9000</v>
      </c>
      <c r="J113" s="192">
        <f t="shared" si="10"/>
        <v>0</v>
      </c>
      <c r="K113" s="193">
        <v>0.4</v>
      </c>
      <c r="L113" s="192">
        <f t="shared" si="11"/>
        <v>3600</v>
      </c>
      <c r="M113" s="192">
        <f t="shared" si="9"/>
        <v>0</v>
      </c>
      <c r="N113" s="190">
        <v>44743</v>
      </c>
      <c r="O113" s="192" t="s">
        <v>482</v>
      </c>
      <c r="P113" s="192" t="s">
        <v>116</v>
      </c>
      <c r="Q113" s="192"/>
      <c r="R113" s="192"/>
      <c r="S113" s="192"/>
    </row>
    <row r="114" spans="1:19">
      <c r="A114" s="192">
        <v>29</v>
      </c>
      <c r="B114" s="190">
        <v>44734</v>
      </c>
      <c r="C114" s="192" t="s">
        <v>387</v>
      </c>
      <c r="D114" s="192"/>
      <c r="E114" s="192" t="s">
        <v>452</v>
      </c>
      <c r="F114" s="192" t="s">
        <v>106</v>
      </c>
      <c r="G114" s="192" t="s">
        <v>460</v>
      </c>
      <c r="H114" s="192">
        <v>43780</v>
      </c>
      <c r="I114" s="192">
        <v>43780</v>
      </c>
      <c r="J114" s="192">
        <f t="shared" si="10"/>
        <v>0</v>
      </c>
      <c r="K114" s="193">
        <v>0.4</v>
      </c>
      <c r="L114" s="192">
        <f t="shared" si="11"/>
        <v>17512</v>
      </c>
      <c r="M114" s="192">
        <f t="shared" si="9"/>
        <v>0</v>
      </c>
      <c r="N114" s="190">
        <v>44743</v>
      </c>
      <c r="O114" s="192" t="s">
        <v>482</v>
      </c>
      <c r="P114" s="192" t="s">
        <v>116</v>
      </c>
      <c r="Q114" s="192"/>
      <c r="R114" s="192"/>
      <c r="S114" s="192"/>
    </row>
    <row r="115" spans="1:19">
      <c r="A115" s="192">
        <v>29</v>
      </c>
      <c r="B115" s="190">
        <v>44734</v>
      </c>
      <c r="C115" s="192" t="s">
        <v>387</v>
      </c>
      <c r="D115" s="192"/>
      <c r="E115" s="192" t="s">
        <v>453</v>
      </c>
      <c r="F115" s="192" t="s">
        <v>106</v>
      </c>
      <c r="G115" s="192" t="s">
        <v>404</v>
      </c>
      <c r="H115" s="192">
        <v>3980</v>
      </c>
      <c r="I115" s="192">
        <v>3980</v>
      </c>
      <c r="J115" s="192">
        <f t="shared" si="10"/>
        <v>0</v>
      </c>
      <c r="K115" s="193">
        <v>0.4</v>
      </c>
      <c r="L115" s="192">
        <f t="shared" si="11"/>
        <v>1592</v>
      </c>
      <c r="M115" s="192">
        <f t="shared" si="9"/>
        <v>0</v>
      </c>
      <c r="N115" s="190">
        <v>44743</v>
      </c>
      <c r="O115" s="192" t="s">
        <v>482</v>
      </c>
      <c r="P115" s="192" t="s">
        <v>116</v>
      </c>
      <c r="Q115" s="192"/>
      <c r="R115" s="192"/>
      <c r="S115" s="192"/>
    </row>
    <row r="116" spans="1:19" ht="15" customHeight="1">
      <c r="A116" s="192">
        <v>29</v>
      </c>
      <c r="B116" s="190">
        <v>44735</v>
      </c>
      <c r="C116" s="192" t="s">
        <v>387</v>
      </c>
      <c r="D116" s="192"/>
      <c r="E116" s="192" t="s">
        <v>458</v>
      </c>
      <c r="F116" s="192" t="s">
        <v>106</v>
      </c>
      <c r="G116" s="192" t="s">
        <v>459</v>
      </c>
      <c r="H116" s="192">
        <v>7960</v>
      </c>
      <c r="I116" s="192">
        <v>7960</v>
      </c>
      <c r="J116" s="192">
        <f t="shared" si="10"/>
        <v>0</v>
      </c>
      <c r="K116" s="193">
        <v>0.4</v>
      </c>
      <c r="L116" s="192">
        <f t="shared" si="11"/>
        <v>3184</v>
      </c>
      <c r="M116" s="192">
        <f t="shared" si="9"/>
        <v>0</v>
      </c>
      <c r="N116" s="190">
        <v>44743</v>
      </c>
      <c r="O116" s="192" t="s">
        <v>482</v>
      </c>
      <c r="P116" s="192" t="s">
        <v>116</v>
      </c>
      <c r="Q116" s="192"/>
      <c r="R116" s="192"/>
      <c r="S116" s="192"/>
    </row>
    <row r="117" spans="1:19" ht="15" customHeight="1">
      <c r="A117" s="192">
        <v>29</v>
      </c>
      <c r="B117" s="190">
        <v>44735</v>
      </c>
      <c r="C117" s="192" t="s">
        <v>387</v>
      </c>
      <c r="D117" s="192"/>
      <c r="E117" s="192" t="s">
        <v>461</v>
      </c>
      <c r="F117" s="192" t="s">
        <v>106</v>
      </c>
      <c r="G117" s="192" t="s">
        <v>462</v>
      </c>
      <c r="H117" s="192">
        <v>10860</v>
      </c>
      <c r="I117" s="192">
        <v>10860</v>
      </c>
      <c r="J117" s="192">
        <f t="shared" si="10"/>
        <v>0</v>
      </c>
      <c r="K117" s="193">
        <v>0.4</v>
      </c>
      <c r="L117" s="192">
        <f t="shared" si="11"/>
        <v>4344</v>
      </c>
      <c r="M117" s="192">
        <f t="shared" si="9"/>
        <v>0</v>
      </c>
      <c r="N117" s="190">
        <v>44743</v>
      </c>
      <c r="O117" s="192" t="s">
        <v>482</v>
      </c>
      <c r="P117" s="192" t="s">
        <v>116</v>
      </c>
      <c r="Q117" s="192"/>
      <c r="R117" s="192"/>
      <c r="S117" s="192"/>
    </row>
    <row r="118" spans="1:19" ht="15" customHeight="1">
      <c r="A118" s="192">
        <v>29</v>
      </c>
      <c r="B118" s="190">
        <v>44736</v>
      </c>
      <c r="C118" s="192" t="s">
        <v>387</v>
      </c>
      <c r="D118" s="192"/>
      <c r="E118" s="192" t="s">
        <v>463</v>
      </c>
      <c r="F118" s="192" t="s">
        <v>106</v>
      </c>
      <c r="G118" s="192" t="s">
        <v>402</v>
      </c>
      <c r="H118" s="192">
        <v>20640</v>
      </c>
      <c r="I118" s="192">
        <v>20640</v>
      </c>
      <c r="J118" s="192">
        <f t="shared" si="10"/>
        <v>0</v>
      </c>
      <c r="K118" s="193">
        <v>0.4</v>
      </c>
      <c r="L118" s="192">
        <f t="shared" si="11"/>
        <v>8256</v>
      </c>
      <c r="M118" s="192">
        <f t="shared" si="9"/>
        <v>0</v>
      </c>
      <c r="N118" s="190">
        <v>44743</v>
      </c>
      <c r="O118" s="192" t="s">
        <v>482</v>
      </c>
      <c r="P118" s="192" t="s">
        <v>116</v>
      </c>
      <c r="Q118" s="192"/>
      <c r="R118" s="192"/>
      <c r="S118" s="192"/>
    </row>
    <row r="119" spans="1:19" ht="15" customHeight="1">
      <c r="A119" s="192">
        <v>29</v>
      </c>
      <c r="B119" s="190">
        <v>44736</v>
      </c>
      <c r="C119" s="192" t="s">
        <v>387</v>
      </c>
      <c r="D119" s="192"/>
      <c r="E119" s="192" t="s">
        <v>464</v>
      </c>
      <c r="F119" s="192" t="s">
        <v>106</v>
      </c>
      <c r="G119" s="192" t="s">
        <v>226</v>
      </c>
      <c r="H119" s="192">
        <v>24900</v>
      </c>
      <c r="I119" s="192">
        <v>24900</v>
      </c>
      <c r="J119" s="192">
        <f t="shared" si="10"/>
        <v>0</v>
      </c>
      <c r="K119" s="193">
        <v>0.4</v>
      </c>
      <c r="L119" s="192">
        <f t="shared" si="11"/>
        <v>9960</v>
      </c>
      <c r="M119" s="192">
        <f t="shared" si="9"/>
        <v>0</v>
      </c>
      <c r="N119" s="190">
        <v>44743</v>
      </c>
      <c r="O119" s="192" t="s">
        <v>482</v>
      </c>
      <c r="P119" s="192" t="s">
        <v>116</v>
      </c>
      <c r="Q119" s="192"/>
      <c r="R119" s="192"/>
      <c r="S119" s="192"/>
    </row>
    <row r="120" spans="1:19" ht="15" customHeight="1">
      <c r="A120" s="192">
        <v>29</v>
      </c>
      <c r="B120" s="190">
        <v>44736</v>
      </c>
      <c r="C120" s="192" t="s">
        <v>387</v>
      </c>
      <c r="D120" s="192"/>
      <c r="E120" s="192" t="s">
        <v>465</v>
      </c>
      <c r="F120" s="192" t="s">
        <v>106</v>
      </c>
      <c r="G120" s="192" t="s">
        <v>123</v>
      </c>
      <c r="H120" s="192">
        <v>23800</v>
      </c>
      <c r="I120" s="192">
        <v>23800</v>
      </c>
      <c r="J120" s="192">
        <f t="shared" si="10"/>
        <v>0</v>
      </c>
      <c r="K120" s="193">
        <v>0.4</v>
      </c>
      <c r="L120" s="192">
        <f t="shared" si="11"/>
        <v>9520</v>
      </c>
      <c r="M120" s="192">
        <f t="shared" si="9"/>
        <v>0</v>
      </c>
      <c r="N120" s="190">
        <v>44743</v>
      </c>
      <c r="O120" s="192" t="s">
        <v>482</v>
      </c>
      <c r="P120" s="192" t="s">
        <v>116</v>
      </c>
      <c r="Q120" s="192"/>
      <c r="R120" s="192"/>
      <c r="S120" s="192"/>
    </row>
    <row r="121" spans="1:19" ht="15" customHeight="1">
      <c r="A121" s="192">
        <v>29</v>
      </c>
      <c r="B121" s="190">
        <v>44737</v>
      </c>
      <c r="C121" s="192" t="s">
        <v>387</v>
      </c>
      <c r="D121" s="192"/>
      <c r="E121" s="192" t="s">
        <v>466</v>
      </c>
      <c r="F121" s="192" t="s">
        <v>106</v>
      </c>
      <c r="G121" s="192" t="s">
        <v>107</v>
      </c>
      <c r="H121" s="192">
        <v>16800</v>
      </c>
      <c r="I121" s="192">
        <v>16800</v>
      </c>
      <c r="J121" s="192">
        <f t="shared" si="10"/>
        <v>0</v>
      </c>
      <c r="K121" s="193">
        <v>0.4</v>
      </c>
      <c r="L121" s="192">
        <f t="shared" si="11"/>
        <v>6720</v>
      </c>
      <c r="M121" s="192">
        <f t="shared" si="9"/>
        <v>0</v>
      </c>
      <c r="N121" s="190">
        <v>44743</v>
      </c>
      <c r="O121" s="192" t="s">
        <v>482</v>
      </c>
      <c r="P121" s="192" t="s">
        <v>116</v>
      </c>
      <c r="Q121" s="192"/>
      <c r="R121" s="192"/>
      <c r="S121" s="192"/>
    </row>
    <row r="122" spans="1:19">
      <c r="A122" s="192">
        <v>29</v>
      </c>
      <c r="B122" s="190">
        <v>44737</v>
      </c>
      <c r="C122" s="192" t="s">
        <v>387</v>
      </c>
      <c r="D122" s="192"/>
      <c r="E122" s="192" t="s">
        <v>467</v>
      </c>
      <c r="F122" s="192" t="s">
        <v>106</v>
      </c>
      <c r="G122" s="192" t="s">
        <v>404</v>
      </c>
      <c r="H122" s="192">
        <v>6880</v>
      </c>
      <c r="I122" s="192">
        <v>6880</v>
      </c>
      <c r="J122" s="192">
        <f t="shared" si="10"/>
        <v>0</v>
      </c>
      <c r="K122" s="193">
        <v>0.4</v>
      </c>
      <c r="L122" s="192">
        <f t="shared" si="11"/>
        <v>2752</v>
      </c>
      <c r="M122" s="192">
        <f t="shared" si="9"/>
        <v>0</v>
      </c>
      <c r="N122" s="190">
        <v>44743</v>
      </c>
      <c r="O122" s="192" t="s">
        <v>482</v>
      </c>
      <c r="P122" s="192" t="s">
        <v>116</v>
      </c>
      <c r="Q122" s="192"/>
      <c r="R122" s="192"/>
      <c r="S122" s="192"/>
    </row>
    <row r="123" spans="1:19">
      <c r="A123" s="192">
        <v>29</v>
      </c>
      <c r="B123" s="190">
        <v>44737</v>
      </c>
      <c r="C123" s="192" t="s">
        <v>387</v>
      </c>
      <c r="D123" s="192"/>
      <c r="E123" s="192" t="s">
        <v>475</v>
      </c>
      <c r="F123" s="192" t="s">
        <v>160</v>
      </c>
      <c r="G123" s="192" t="s">
        <v>476</v>
      </c>
      <c r="H123" s="192">
        <v>-9920</v>
      </c>
      <c r="I123" s="192">
        <v>-9920</v>
      </c>
      <c r="J123" s="192">
        <f t="shared" si="10"/>
        <v>0</v>
      </c>
      <c r="K123" s="193">
        <v>0.4</v>
      </c>
      <c r="L123" s="192">
        <f t="shared" si="11"/>
        <v>-3968</v>
      </c>
      <c r="M123" s="192">
        <f t="shared" si="9"/>
        <v>0</v>
      </c>
      <c r="N123" s="190">
        <v>44743</v>
      </c>
      <c r="O123" s="192" t="s">
        <v>482</v>
      </c>
      <c r="P123" s="192" t="s">
        <v>116</v>
      </c>
      <c r="Q123" s="192"/>
      <c r="R123" s="192"/>
      <c r="S123" s="192"/>
    </row>
    <row r="124" spans="1:19">
      <c r="A124" s="192">
        <v>29</v>
      </c>
      <c r="B124" s="190">
        <v>44738</v>
      </c>
      <c r="C124" s="192" t="s">
        <v>387</v>
      </c>
      <c r="D124" s="192"/>
      <c r="E124" s="192" t="s">
        <v>468</v>
      </c>
      <c r="F124" s="192" t="s">
        <v>106</v>
      </c>
      <c r="G124" s="192" t="s">
        <v>404</v>
      </c>
      <c r="H124" s="192">
        <v>6880</v>
      </c>
      <c r="I124" s="192">
        <v>6880</v>
      </c>
      <c r="J124" s="192">
        <f t="shared" si="10"/>
        <v>0</v>
      </c>
      <c r="K124" s="193">
        <v>0.4</v>
      </c>
      <c r="L124" s="192">
        <f t="shared" si="11"/>
        <v>2752</v>
      </c>
      <c r="M124" s="192">
        <f t="shared" si="9"/>
        <v>0</v>
      </c>
      <c r="N124" s="190">
        <v>44743</v>
      </c>
      <c r="O124" s="192" t="s">
        <v>482</v>
      </c>
      <c r="P124" s="192" t="s">
        <v>116</v>
      </c>
      <c r="Q124" s="192"/>
      <c r="R124" s="192"/>
      <c r="S124" s="192"/>
    </row>
    <row r="125" spans="1:19">
      <c r="A125" s="192">
        <v>29</v>
      </c>
      <c r="B125" s="190">
        <v>44738</v>
      </c>
      <c r="C125" s="192" t="s">
        <v>387</v>
      </c>
      <c r="D125" s="192"/>
      <c r="E125" s="192" t="s">
        <v>469</v>
      </c>
      <c r="F125" s="192" t="s">
        <v>106</v>
      </c>
      <c r="G125" s="192" t="s">
        <v>404</v>
      </c>
      <c r="H125" s="192">
        <v>3980</v>
      </c>
      <c r="I125" s="192">
        <v>3980</v>
      </c>
      <c r="J125" s="192">
        <f t="shared" si="10"/>
        <v>0</v>
      </c>
      <c r="K125" s="193">
        <v>0.4</v>
      </c>
      <c r="L125" s="192">
        <f t="shared" si="11"/>
        <v>1592</v>
      </c>
      <c r="M125" s="192">
        <f t="shared" si="9"/>
        <v>0</v>
      </c>
      <c r="N125" s="190">
        <v>44743</v>
      </c>
      <c r="O125" s="192" t="s">
        <v>482</v>
      </c>
      <c r="P125" s="192" t="s">
        <v>116</v>
      </c>
      <c r="Q125" s="192"/>
      <c r="R125" s="192"/>
      <c r="S125" s="192"/>
    </row>
    <row r="126" spans="1:19">
      <c r="A126" s="192">
        <v>29</v>
      </c>
      <c r="B126" s="190">
        <v>44738</v>
      </c>
      <c r="C126" s="192" t="s">
        <v>387</v>
      </c>
      <c r="D126" s="192"/>
      <c r="E126" s="192" t="s">
        <v>397</v>
      </c>
      <c r="F126" s="192" t="s">
        <v>111</v>
      </c>
      <c r="G126" s="192" t="s">
        <v>470</v>
      </c>
      <c r="H126" s="192">
        <v>13800</v>
      </c>
      <c r="I126" s="192">
        <v>13800</v>
      </c>
      <c r="J126" s="192">
        <f t="shared" si="10"/>
        <v>0</v>
      </c>
      <c r="K126" s="193">
        <v>0.4</v>
      </c>
      <c r="L126" s="192">
        <f t="shared" si="11"/>
        <v>5520</v>
      </c>
      <c r="M126" s="192">
        <f t="shared" si="9"/>
        <v>0</v>
      </c>
      <c r="N126" s="190">
        <v>44743</v>
      </c>
      <c r="O126" s="192" t="s">
        <v>482</v>
      </c>
      <c r="P126" s="192" t="s">
        <v>116</v>
      </c>
      <c r="Q126" s="192"/>
      <c r="R126" s="192"/>
      <c r="S126" s="192"/>
    </row>
    <row r="127" spans="1:19">
      <c r="A127" s="192">
        <v>29</v>
      </c>
      <c r="B127" s="190">
        <v>44738</v>
      </c>
      <c r="C127" s="192" t="s">
        <v>387</v>
      </c>
      <c r="D127" s="192"/>
      <c r="E127" s="192" t="s">
        <v>471</v>
      </c>
      <c r="F127" s="192" t="s">
        <v>106</v>
      </c>
      <c r="G127" s="192" t="s">
        <v>404</v>
      </c>
      <c r="H127" s="192">
        <v>3680</v>
      </c>
      <c r="I127" s="192">
        <v>3680</v>
      </c>
      <c r="J127" s="192">
        <f t="shared" si="10"/>
        <v>0</v>
      </c>
      <c r="K127" s="193">
        <v>0.4</v>
      </c>
      <c r="L127" s="192">
        <f t="shared" si="11"/>
        <v>1472</v>
      </c>
      <c r="M127" s="192">
        <f t="shared" si="9"/>
        <v>0</v>
      </c>
      <c r="N127" s="190">
        <v>44743</v>
      </c>
      <c r="O127" s="192" t="s">
        <v>482</v>
      </c>
      <c r="P127" s="192" t="s">
        <v>116</v>
      </c>
      <c r="Q127" s="192"/>
      <c r="R127" s="192"/>
      <c r="S127" s="192"/>
    </row>
    <row r="128" spans="1:19">
      <c r="A128" s="192">
        <v>29</v>
      </c>
      <c r="B128" s="190">
        <v>44738</v>
      </c>
      <c r="C128" s="192" t="s">
        <v>387</v>
      </c>
      <c r="D128" s="192"/>
      <c r="E128" s="192" t="s">
        <v>472</v>
      </c>
      <c r="F128" s="192" t="s">
        <v>106</v>
      </c>
      <c r="G128" s="192" t="s">
        <v>123</v>
      </c>
      <c r="H128" s="192">
        <v>98000</v>
      </c>
      <c r="I128" s="192">
        <v>98000</v>
      </c>
      <c r="J128" s="192">
        <f t="shared" ref="J128:J159" si="12">H128-I128</f>
        <v>0</v>
      </c>
      <c r="K128" s="193">
        <v>0.4</v>
      </c>
      <c r="L128" s="192">
        <f t="shared" si="11"/>
        <v>39200</v>
      </c>
      <c r="M128" s="192">
        <f t="shared" si="9"/>
        <v>0</v>
      </c>
      <c r="N128" s="190">
        <v>44743</v>
      </c>
      <c r="O128" s="192" t="s">
        <v>482</v>
      </c>
      <c r="P128" s="192" t="s">
        <v>116</v>
      </c>
      <c r="Q128" s="192"/>
      <c r="R128" s="192"/>
      <c r="S128" s="192"/>
    </row>
    <row r="129" spans="1:19">
      <c r="A129" s="192">
        <v>29</v>
      </c>
      <c r="B129" s="190">
        <v>44738</v>
      </c>
      <c r="C129" s="192" t="s">
        <v>387</v>
      </c>
      <c r="D129" s="192"/>
      <c r="E129" s="192" t="s">
        <v>473</v>
      </c>
      <c r="F129" s="192" t="s">
        <v>106</v>
      </c>
      <c r="G129" s="192" t="s">
        <v>474</v>
      </c>
      <c r="H129" s="192">
        <v>11940</v>
      </c>
      <c r="I129" s="192">
        <v>11940</v>
      </c>
      <c r="J129" s="192">
        <f t="shared" si="12"/>
        <v>0</v>
      </c>
      <c r="K129" s="193">
        <v>0.4</v>
      </c>
      <c r="L129" s="192">
        <f t="shared" si="11"/>
        <v>4776</v>
      </c>
      <c r="M129" s="192">
        <f t="shared" si="9"/>
        <v>0</v>
      </c>
      <c r="N129" s="190">
        <v>44743</v>
      </c>
      <c r="O129" s="192" t="s">
        <v>482</v>
      </c>
      <c r="P129" s="192" t="s">
        <v>116</v>
      </c>
      <c r="Q129" s="192"/>
      <c r="R129" s="192"/>
      <c r="S129" s="192"/>
    </row>
    <row r="130" spans="1:19">
      <c r="A130" s="192">
        <v>29</v>
      </c>
      <c r="B130" s="190">
        <v>44738</v>
      </c>
      <c r="C130" s="192" t="s">
        <v>387</v>
      </c>
      <c r="D130" s="192"/>
      <c r="E130" s="192" t="s">
        <v>446</v>
      </c>
      <c r="F130" s="192" t="s">
        <v>106</v>
      </c>
      <c r="G130" s="192" t="s">
        <v>402</v>
      </c>
      <c r="H130" s="192">
        <v>9900</v>
      </c>
      <c r="I130" s="192">
        <v>0</v>
      </c>
      <c r="J130" s="192">
        <f t="shared" si="12"/>
        <v>9900</v>
      </c>
      <c r="K130" s="193">
        <v>0.4</v>
      </c>
      <c r="L130" s="192">
        <f t="shared" si="11"/>
        <v>0</v>
      </c>
      <c r="M130" s="192">
        <f t="shared" si="9"/>
        <v>3960</v>
      </c>
      <c r="N130" s="190">
        <v>44743</v>
      </c>
      <c r="O130" s="192" t="s">
        <v>482</v>
      </c>
      <c r="P130" s="192" t="s">
        <v>116</v>
      </c>
      <c r="Q130" s="192"/>
      <c r="R130" s="192"/>
      <c r="S130" s="192"/>
    </row>
    <row r="131" spans="1:19">
      <c r="A131" s="192">
        <v>29</v>
      </c>
      <c r="B131" s="190">
        <v>44740</v>
      </c>
      <c r="C131" s="192" t="s">
        <v>387</v>
      </c>
      <c r="D131" s="192"/>
      <c r="E131" s="192" t="s">
        <v>452</v>
      </c>
      <c r="F131" s="192" t="s">
        <v>106</v>
      </c>
      <c r="G131" s="192" t="s">
        <v>107</v>
      </c>
      <c r="H131" s="192">
        <v>13800</v>
      </c>
      <c r="I131" s="192">
        <v>13800</v>
      </c>
      <c r="J131" s="192">
        <f t="shared" si="12"/>
        <v>0</v>
      </c>
      <c r="K131" s="193">
        <v>0.4</v>
      </c>
      <c r="L131" s="192">
        <f t="shared" si="11"/>
        <v>5520</v>
      </c>
      <c r="M131" s="192">
        <f t="shared" si="9"/>
        <v>0</v>
      </c>
      <c r="N131" s="190">
        <v>44743</v>
      </c>
      <c r="O131" s="192" t="s">
        <v>482</v>
      </c>
      <c r="P131" s="192" t="s">
        <v>116</v>
      </c>
      <c r="Q131" s="192"/>
      <c r="R131" s="192"/>
      <c r="S131" s="192"/>
    </row>
    <row r="132" spans="1:19">
      <c r="A132" s="192">
        <v>29</v>
      </c>
      <c r="B132" s="190">
        <v>44740</v>
      </c>
      <c r="C132" s="192" t="s">
        <v>387</v>
      </c>
      <c r="D132" s="192"/>
      <c r="E132" s="192" t="s">
        <v>477</v>
      </c>
      <c r="F132" s="192" t="s">
        <v>106</v>
      </c>
      <c r="G132" s="192" t="s">
        <v>402</v>
      </c>
      <c r="H132" s="192">
        <v>6900</v>
      </c>
      <c r="I132" s="192">
        <v>6900</v>
      </c>
      <c r="J132" s="192">
        <f t="shared" si="12"/>
        <v>0</v>
      </c>
      <c r="K132" s="193">
        <v>0.4</v>
      </c>
      <c r="L132" s="192">
        <f t="shared" si="11"/>
        <v>2760</v>
      </c>
      <c r="M132" s="192">
        <f t="shared" si="9"/>
        <v>0</v>
      </c>
      <c r="N132" s="190">
        <v>44743</v>
      </c>
      <c r="O132" s="192" t="s">
        <v>482</v>
      </c>
      <c r="P132" s="192" t="s">
        <v>116</v>
      </c>
      <c r="Q132" s="192"/>
      <c r="R132" s="192"/>
      <c r="S132" s="192"/>
    </row>
    <row r="133" spans="1:19">
      <c r="A133" s="192">
        <v>29</v>
      </c>
      <c r="B133" s="190">
        <v>44740</v>
      </c>
      <c r="C133" s="192" t="s">
        <v>387</v>
      </c>
      <c r="D133" s="192"/>
      <c r="E133" s="192" t="s">
        <v>446</v>
      </c>
      <c r="F133" s="192" t="s">
        <v>185</v>
      </c>
      <c r="G133" s="192" t="s">
        <v>484</v>
      </c>
      <c r="H133" s="192">
        <v>0</v>
      </c>
      <c r="I133" s="192">
        <v>9900</v>
      </c>
      <c r="J133" s="192">
        <f t="shared" si="12"/>
        <v>-9900</v>
      </c>
      <c r="K133" s="193">
        <v>0.4</v>
      </c>
      <c r="L133" s="192">
        <f t="shared" si="11"/>
        <v>3960</v>
      </c>
      <c r="M133" s="192">
        <f t="shared" si="9"/>
        <v>-3960</v>
      </c>
      <c r="N133" s="190">
        <v>44743</v>
      </c>
      <c r="O133" s="192" t="s">
        <v>482</v>
      </c>
      <c r="P133" s="192" t="s">
        <v>116</v>
      </c>
      <c r="Q133" s="192"/>
      <c r="R133" s="192"/>
      <c r="S133" s="192"/>
    </row>
    <row r="134" spans="1:19" s="189" customFormat="1">
      <c r="A134" s="192">
        <v>29</v>
      </c>
      <c r="B134" s="190">
        <v>44740</v>
      </c>
      <c r="C134" s="192" t="s">
        <v>387</v>
      </c>
      <c r="D134" s="192"/>
      <c r="E134" s="192" t="s">
        <v>478</v>
      </c>
      <c r="F134" s="192" t="s">
        <v>106</v>
      </c>
      <c r="G134" s="192" t="s">
        <v>123</v>
      </c>
      <c r="H134" s="192">
        <v>15600</v>
      </c>
      <c r="I134" s="192">
        <v>15600</v>
      </c>
      <c r="J134" s="192">
        <f t="shared" si="12"/>
        <v>0</v>
      </c>
      <c r="K134" s="193">
        <v>0.4</v>
      </c>
      <c r="L134" s="192">
        <f t="shared" si="11"/>
        <v>6240</v>
      </c>
      <c r="M134" s="192">
        <f t="shared" si="9"/>
        <v>0</v>
      </c>
      <c r="N134" s="190">
        <v>44743</v>
      </c>
      <c r="O134" s="192" t="s">
        <v>482</v>
      </c>
      <c r="P134" s="192" t="s">
        <v>116</v>
      </c>
      <c r="Q134" s="192"/>
      <c r="R134" s="192"/>
      <c r="S134" s="192"/>
    </row>
    <row r="135" spans="1:19">
      <c r="A135" s="192">
        <v>29</v>
      </c>
      <c r="B135" s="190">
        <v>44740</v>
      </c>
      <c r="C135" s="192" t="s">
        <v>387</v>
      </c>
      <c r="D135" s="192"/>
      <c r="E135" s="192" t="s">
        <v>479</v>
      </c>
      <c r="F135" s="192" t="s">
        <v>185</v>
      </c>
      <c r="G135" s="192" t="s">
        <v>480</v>
      </c>
      <c r="H135" s="192">
        <v>1800</v>
      </c>
      <c r="I135" s="192">
        <v>1800</v>
      </c>
      <c r="J135" s="192">
        <f t="shared" si="12"/>
        <v>0</v>
      </c>
      <c r="K135" s="193">
        <v>0.4</v>
      </c>
      <c r="L135" s="192">
        <f t="shared" si="11"/>
        <v>720</v>
      </c>
      <c r="M135" s="192">
        <f t="shared" si="9"/>
        <v>0</v>
      </c>
      <c r="N135" s="190">
        <v>44743</v>
      </c>
      <c r="O135" s="192" t="s">
        <v>482</v>
      </c>
      <c r="P135" s="192" t="s">
        <v>116</v>
      </c>
      <c r="Q135" s="192"/>
      <c r="R135" s="192"/>
      <c r="S135" s="192"/>
    </row>
    <row r="136" spans="1:19">
      <c r="A136" s="192">
        <v>30</v>
      </c>
      <c r="B136" s="190">
        <v>44726</v>
      </c>
      <c r="C136" s="192" t="s">
        <v>711</v>
      </c>
      <c r="D136" s="192" t="s">
        <v>732</v>
      </c>
      <c r="E136" s="192" t="s">
        <v>428</v>
      </c>
      <c r="F136" s="192" t="s">
        <v>160</v>
      </c>
      <c r="G136" s="192" t="s">
        <v>429</v>
      </c>
      <c r="H136" s="192">
        <f>-19900/3</f>
        <v>-6633.333333333333</v>
      </c>
      <c r="I136" s="192">
        <f>H136</f>
        <v>-6633.333333333333</v>
      </c>
      <c r="J136" s="192">
        <v>0</v>
      </c>
      <c r="K136" s="193">
        <v>0.45</v>
      </c>
      <c r="L136" s="192">
        <f t="shared" si="11"/>
        <v>-2985</v>
      </c>
      <c r="M136" s="192">
        <f t="shared" si="9"/>
        <v>0</v>
      </c>
      <c r="N136" s="190">
        <v>44726</v>
      </c>
      <c r="O136" s="192" t="s">
        <v>734</v>
      </c>
      <c r="P136" s="192" t="s">
        <v>430</v>
      </c>
      <c r="Q136" s="192"/>
      <c r="R136" s="192"/>
      <c r="S136" s="192"/>
    </row>
    <row r="137" spans="1:19">
      <c r="A137" s="192">
        <v>31</v>
      </c>
      <c r="B137" s="190">
        <v>44730</v>
      </c>
      <c r="C137" s="192" t="s">
        <v>438</v>
      </c>
      <c r="D137" s="192"/>
      <c r="E137" s="192" t="s">
        <v>439</v>
      </c>
      <c r="F137" s="192" t="s">
        <v>111</v>
      </c>
      <c r="G137" s="192" t="s">
        <v>440</v>
      </c>
      <c r="H137" s="192">
        <v>27600</v>
      </c>
      <c r="I137" s="192">
        <v>27600</v>
      </c>
      <c r="J137" s="192">
        <f t="shared" ref="J137:J168" si="13">H137-I137</f>
        <v>0</v>
      </c>
      <c r="K137" s="193">
        <v>0.5</v>
      </c>
      <c r="L137" s="192">
        <f t="shared" si="11"/>
        <v>13800</v>
      </c>
      <c r="M137" s="192">
        <f t="shared" si="9"/>
        <v>0</v>
      </c>
      <c r="N137" s="190">
        <v>44730</v>
      </c>
      <c r="O137" s="192" t="s">
        <v>441</v>
      </c>
      <c r="P137" s="192" t="s">
        <v>734</v>
      </c>
      <c r="Q137" s="191" t="b">
        <v>1</v>
      </c>
      <c r="R137" s="191" t="s">
        <v>737</v>
      </c>
      <c r="S137" s="192" t="s">
        <v>230</v>
      </c>
    </row>
    <row r="138" spans="1:19">
      <c r="A138" s="192">
        <v>32</v>
      </c>
      <c r="B138" s="190">
        <v>44731</v>
      </c>
      <c r="C138" s="192" t="s">
        <v>387</v>
      </c>
      <c r="D138" s="192"/>
      <c r="E138" s="195" t="s">
        <v>456</v>
      </c>
      <c r="F138" s="192" t="s">
        <v>111</v>
      </c>
      <c r="G138" s="192" t="s">
        <v>450</v>
      </c>
      <c r="H138" s="192">
        <v>100</v>
      </c>
      <c r="I138" s="192">
        <v>100</v>
      </c>
      <c r="J138" s="192">
        <f t="shared" si="13"/>
        <v>0</v>
      </c>
      <c r="K138" s="193">
        <v>1</v>
      </c>
      <c r="L138" s="192">
        <f t="shared" si="11"/>
        <v>100</v>
      </c>
      <c r="M138" s="192">
        <f t="shared" si="9"/>
        <v>0</v>
      </c>
      <c r="N138" s="190">
        <v>44731</v>
      </c>
      <c r="O138" s="195" t="s">
        <v>456</v>
      </c>
      <c r="P138" s="192" t="s">
        <v>116</v>
      </c>
      <c r="Q138" s="192"/>
      <c r="R138" s="192"/>
      <c r="S138" s="192" t="s">
        <v>448</v>
      </c>
    </row>
    <row r="139" spans="1:19">
      <c r="A139" s="192">
        <v>33</v>
      </c>
      <c r="B139" s="190">
        <v>44731</v>
      </c>
      <c r="C139" s="192" t="s">
        <v>713</v>
      </c>
      <c r="D139" s="192"/>
      <c r="E139" s="195" t="s">
        <v>456</v>
      </c>
      <c r="F139" s="192" t="s">
        <v>111</v>
      </c>
      <c r="G139" s="192" t="s">
        <v>449</v>
      </c>
      <c r="H139" s="192">
        <v>200</v>
      </c>
      <c r="I139" s="192">
        <v>200</v>
      </c>
      <c r="J139" s="192">
        <f t="shared" si="13"/>
        <v>0</v>
      </c>
      <c r="K139" s="193">
        <v>1</v>
      </c>
      <c r="L139" s="192">
        <f t="shared" si="11"/>
        <v>200</v>
      </c>
      <c r="M139" s="192">
        <f t="shared" si="9"/>
        <v>0</v>
      </c>
      <c r="N139" s="190">
        <v>44731</v>
      </c>
      <c r="O139" s="195" t="s">
        <v>456</v>
      </c>
      <c r="P139" s="192" t="s">
        <v>116</v>
      </c>
      <c r="Q139" s="192"/>
      <c r="R139" s="192"/>
      <c r="S139" s="192" t="s">
        <v>448</v>
      </c>
    </row>
    <row r="140" spans="1:19">
      <c r="A140" s="192">
        <v>34</v>
      </c>
      <c r="B140" s="190">
        <v>44732</v>
      </c>
      <c r="C140" s="192" t="s">
        <v>713</v>
      </c>
      <c r="D140" s="192"/>
      <c r="E140" s="192" t="s">
        <v>451</v>
      </c>
      <c r="F140" s="192" t="s">
        <v>106</v>
      </c>
      <c r="G140" s="192" t="s">
        <v>107</v>
      </c>
      <c r="H140" s="192">
        <v>19800</v>
      </c>
      <c r="I140" s="192">
        <v>19800</v>
      </c>
      <c r="J140" s="192">
        <f t="shared" si="13"/>
        <v>0</v>
      </c>
      <c r="K140" s="193">
        <v>0.5</v>
      </c>
      <c r="L140" s="192">
        <f>I140*K140-1000</f>
        <v>8900</v>
      </c>
      <c r="M140" s="192">
        <f t="shared" si="9"/>
        <v>0</v>
      </c>
      <c r="N140" s="190">
        <v>44732</v>
      </c>
      <c r="O140" s="192" t="s">
        <v>113</v>
      </c>
      <c r="P140" s="192" t="s">
        <v>734</v>
      </c>
      <c r="Q140" s="191" t="b">
        <v>1</v>
      </c>
      <c r="R140" s="191" t="s">
        <v>737</v>
      </c>
      <c r="S140" s="192" t="s">
        <v>230</v>
      </c>
    </row>
    <row r="141" spans="1:19">
      <c r="A141" s="192">
        <v>35</v>
      </c>
      <c r="B141" s="190">
        <v>44742</v>
      </c>
      <c r="C141" s="36" t="s">
        <v>493</v>
      </c>
      <c r="E141" s="36" t="s">
        <v>492</v>
      </c>
      <c r="F141" s="36" t="s">
        <v>106</v>
      </c>
      <c r="G141" s="192" t="s">
        <v>404</v>
      </c>
      <c r="H141" s="36">
        <v>4980</v>
      </c>
      <c r="I141" s="36">
        <v>4980</v>
      </c>
      <c r="J141" s="36">
        <f t="shared" si="13"/>
        <v>0</v>
      </c>
      <c r="K141" s="37">
        <v>0.375</v>
      </c>
      <c r="L141" s="36">
        <f t="shared" ref="L141:L172" si="14">I141*K141</f>
        <v>1867.5</v>
      </c>
      <c r="M141" s="192">
        <f t="shared" si="9"/>
        <v>0</v>
      </c>
      <c r="N141" s="38">
        <v>44748</v>
      </c>
      <c r="O141" s="36" t="s">
        <v>220</v>
      </c>
      <c r="P141" s="36" t="s">
        <v>734</v>
      </c>
      <c r="Q141" s="191" t="b">
        <v>1</v>
      </c>
      <c r="R141" s="191" t="s">
        <v>737</v>
      </c>
      <c r="S141" s="192" t="s">
        <v>230</v>
      </c>
    </row>
    <row r="142" spans="1:19">
      <c r="A142" s="192">
        <v>35</v>
      </c>
      <c r="B142" s="190">
        <v>44742</v>
      </c>
      <c r="C142" s="36" t="s">
        <v>493</v>
      </c>
      <c r="E142" s="36" t="s">
        <v>158</v>
      </c>
      <c r="F142" s="36" t="s">
        <v>111</v>
      </c>
      <c r="G142" s="36" t="s">
        <v>192</v>
      </c>
      <c r="H142" s="36">
        <v>8940</v>
      </c>
      <c r="I142" s="36">
        <v>8940</v>
      </c>
      <c r="J142" s="36">
        <f t="shared" si="13"/>
        <v>0</v>
      </c>
      <c r="K142" s="37">
        <v>0.375</v>
      </c>
      <c r="L142" s="36">
        <f t="shared" si="14"/>
        <v>3352.5</v>
      </c>
      <c r="M142" s="192">
        <f t="shared" si="9"/>
        <v>0</v>
      </c>
      <c r="N142" s="38">
        <v>44748</v>
      </c>
      <c r="O142" s="36" t="s">
        <v>220</v>
      </c>
      <c r="P142" s="36" t="s">
        <v>734</v>
      </c>
      <c r="Q142" s="191" t="b">
        <v>1</v>
      </c>
      <c r="R142" s="191" t="s">
        <v>737</v>
      </c>
      <c r="S142" s="192" t="s">
        <v>230</v>
      </c>
    </row>
    <row r="143" spans="1:19">
      <c r="A143" s="192">
        <v>35</v>
      </c>
      <c r="B143" s="190">
        <v>44744</v>
      </c>
      <c r="C143" s="36" t="s">
        <v>493</v>
      </c>
      <c r="D143" s="36" t="s">
        <v>716</v>
      </c>
      <c r="E143" s="36" t="s">
        <v>229</v>
      </c>
      <c r="F143" s="36" t="s">
        <v>185</v>
      </c>
      <c r="G143" s="36" t="s">
        <v>494</v>
      </c>
      <c r="H143" s="36">
        <v>0</v>
      </c>
      <c r="I143" s="36">
        <v>6000</v>
      </c>
      <c r="J143" s="36">
        <f t="shared" si="13"/>
        <v>-6000</v>
      </c>
      <c r="K143" s="37">
        <v>0.375</v>
      </c>
      <c r="L143" s="36">
        <f t="shared" si="14"/>
        <v>2250</v>
      </c>
      <c r="M143" s="192">
        <f t="shared" si="9"/>
        <v>-2250</v>
      </c>
      <c r="N143" s="38">
        <v>44748</v>
      </c>
      <c r="O143" s="36" t="s">
        <v>220</v>
      </c>
      <c r="P143" s="36" t="s">
        <v>734</v>
      </c>
      <c r="Q143" s="191" t="b">
        <v>1</v>
      </c>
      <c r="R143" s="191" t="s">
        <v>737</v>
      </c>
      <c r="S143" s="192" t="s">
        <v>230</v>
      </c>
    </row>
    <row r="144" spans="1:19">
      <c r="A144" s="192">
        <v>35</v>
      </c>
      <c r="B144" s="190">
        <v>44744</v>
      </c>
      <c r="C144" s="36" t="s">
        <v>493</v>
      </c>
      <c r="D144" s="36" t="s">
        <v>716</v>
      </c>
      <c r="E144" s="36" t="s">
        <v>122</v>
      </c>
      <c r="F144" s="36" t="s">
        <v>106</v>
      </c>
      <c r="G144" s="36" t="s">
        <v>495</v>
      </c>
      <c r="H144" s="36">
        <v>20640</v>
      </c>
      <c r="I144" s="36">
        <v>20640</v>
      </c>
      <c r="J144" s="36">
        <f t="shared" si="13"/>
        <v>0</v>
      </c>
      <c r="K144" s="37">
        <v>0.375</v>
      </c>
      <c r="L144" s="36">
        <f t="shared" si="14"/>
        <v>7740</v>
      </c>
      <c r="M144" s="192">
        <f t="shared" si="9"/>
        <v>0</v>
      </c>
      <c r="N144" s="38">
        <v>44748</v>
      </c>
      <c r="O144" s="36" t="s">
        <v>220</v>
      </c>
      <c r="P144" s="36" t="s">
        <v>734</v>
      </c>
      <c r="Q144" s="191" t="b">
        <v>1</v>
      </c>
      <c r="R144" s="191" t="s">
        <v>737</v>
      </c>
      <c r="S144" s="192" t="s">
        <v>230</v>
      </c>
    </row>
    <row r="145" spans="1:19">
      <c r="A145" s="192">
        <v>36</v>
      </c>
      <c r="B145" s="190">
        <v>44750</v>
      </c>
      <c r="C145" s="36" t="s">
        <v>387</v>
      </c>
      <c r="E145" s="36" t="s">
        <v>400</v>
      </c>
      <c r="F145" s="36" t="s">
        <v>106</v>
      </c>
      <c r="G145" s="36" t="s">
        <v>402</v>
      </c>
      <c r="H145" s="36">
        <v>9900</v>
      </c>
      <c r="I145" s="36">
        <v>9900</v>
      </c>
      <c r="J145" s="36">
        <f t="shared" si="13"/>
        <v>0</v>
      </c>
      <c r="K145" s="37">
        <v>0.4</v>
      </c>
      <c r="L145" s="36">
        <f t="shared" si="14"/>
        <v>3960</v>
      </c>
      <c r="M145" s="192">
        <f t="shared" si="9"/>
        <v>0</v>
      </c>
      <c r="N145" s="38">
        <v>44761</v>
      </c>
      <c r="O145" s="36" t="s">
        <v>482</v>
      </c>
      <c r="P145" s="36" t="s">
        <v>734</v>
      </c>
      <c r="Q145" s="191" t="b">
        <v>1</v>
      </c>
      <c r="R145" s="191" t="s">
        <v>737</v>
      </c>
      <c r="S145" s="36" t="s">
        <v>230</v>
      </c>
    </row>
    <row r="146" spans="1:19">
      <c r="A146" s="192">
        <v>36</v>
      </c>
      <c r="B146" s="190">
        <v>44750</v>
      </c>
      <c r="C146" s="36" t="s">
        <v>387</v>
      </c>
      <c r="E146" s="36" t="s">
        <v>499</v>
      </c>
      <c r="F146" s="36" t="s">
        <v>106</v>
      </c>
      <c r="G146" s="36" t="s">
        <v>500</v>
      </c>
      <c r="H146" s="36">
        <v>46680</v>
      </c>
      <c r="I146" s="36">
        <v>46680</v>
      </c>
      <c r="J146" s="36">
        <f t="shared" si="13"/>
        <v>0</v>
      </c>
      <c r="K146" s="37">
        <v>0.4</v>
      </c>
      <c r="L146" s="36">
        <f t="shared" si="14"/>
        <v>18672</v>
      </c>
      <c r="M146" s="192">
        <f t="shared" si="9"/>
        <v>0</v>
      </c>
      <c r="N146" s="38">
        <v>44761</v>
      </c>
      <c r="O146" s="36" t="s">
        <v>482</v>
      </c>
      <c r="P146" s="36" t="s">
        <v>734</v>
      </c>
      <c r="Q146" s="191" t="b">
        <v>1</v>
      </c>
      <c r="R146" s="191" t="s">
        <v>737</v>
      </c>
      <c r="S146" s="36" t="s">
        <v>230</v>
      </c>
    </row>
    <row r="147" spans="1:19">
      <c r="A147" s="192">
        <v>36</v>
      </c>
      <c r="B147" s="190">
        <v>44750</v>
      </c>
      <c r="C147" s="36" t="s">
        <v>387</v>
      </c>
      <c r="E147" s="36" t="s">
        <v>501</v>
      </c>
      <c r="F147" s="36" t="s">
        <v>106</v>
      </c>
      <c r="G147" s="36" t="s">
        <v>402</v>
      </c>
      <c r="H147" s="36">
        <v>9900</v>
      </c>
      <c r="I147" s="36">
        <v>3000</v>
      </c>
      <c r="J147" s="36">
        <f t="shared" si="13"/>
        <v>6900</v>
      </c>
      <c r="K147" s="37">
        <v>0.4</v>
      </c>
      <c r="L147" s="36">
        <f t="shared" si="14"/>
        <v>1200</v>
      </c>
      <c r="M147" s="192">
        <f t="shared" si="9"/>
        <v>2760</v>
      </c>
      <c r="N147" s="38">
        <v>44761</v>
      </c>
      <c r="O147" s="36" t="s">
        <v>482</v>
      </c>
      <c r="P147" s="36" t="s">
        <v>734</v>
      </c>
      <c r="Q147" s="191" t="b">
        <v>1</v>
      </c>
      <c r="R147" s="191" t="s">
        <v>737</v>
      </c>
      <c r="S147" s="36" t="s">
        <v>230</v>
      </c>
    </row>
    <row r="148" spans="1:19">
      <c r="A148" s="192">
        <v>36</v>
      </c>
      <c r="B148" s="190">
        <v>44750</v>
      </c>
      <c r="C148" s="36" t="s">
        <v>387</v>
      </c>
      <c r="E148" s="36" t="s">
        <v>502</v>
      </c>
      <c r="F148" s="36" t="s">
        <v>106</v>
      </c>
      <c r="G148" s="36" t="s">
        <v>228</v>
      </c>
      <c r="H148" s="36">
        <v>19920</v>
      </c>
      <c r="I148" s="36">
        <v>19920</v>
      </c>
      <c r="J148" s="36">
        <f t="shared" si="13"/>
        <v>0</v>
      </c>
      <c r="K148" s="37">
        <v>0.4</v>
      </c>
      <c r="L148" s="36">
        <f t="shared" si="14"/>
        <v>7968</v>
      </c>
      <c r="M148" s="192">
        <f t="shared" si="9"/>
        <v>0</v>
      </c>
      <c r="N148" s="38">
        <v>44761</v>
      </c>
      <c r="O148" s="36" t="s">
        <v>482</v>
      </c>
      <c r="P148" s="36" t="s">
        <v>734</v>
      </c>
      <c r="Q148" s="191" t="b">
        <v>1</v>
      </c>
      <c r="R148" s="191" t="s">
        <v>737</v>
      </c>
      <c r="S148" s="36" t="s">
        <v>230</v>
      </c>
    </row>
    <row r="149" spans="1:19">
      <c r="A149" s="192">
        <v>36</v>
      </c>
      <c r="B149" s="190">
        <v>44751</v>
      </c>
      <c r="C149" s="36" t="s">
        <v>387</v>
      </c>
      <c r="E149" s="36" t="s">
        <v>479</v>
      </c>
      <c r="F149" s="36" t="s">
        <v>106</v>
      </c>
      <c r="G149" s="36" t="s">
        <v>404</v>
      </c>
      <c r="H149" s="36">
        <v>6880</v>
      </c>
      <c r="I149" s="36">
        <v>1880</v>
      </c>
      <c r="J149" s="36">
        <f t="shared" si="13"/>
        <v>5000</v>
      </c>
      <c r="K149" s="37">
        <v>0.4</v>
      </c>
      <c r="L149" s="36">
        <f t="shared" si="14"/>
        <v>752</v>
      </c>
      <c r="M149" s="192">
        <f t="shared" si="9"/>
        <v>2000</v>
      </c>
      <c r="N149" s="38">
        <v>44761</v>
      </c>
      <c r="O149" s="36" t="s">
        <v>482</v>
      </c>
      <c r="P149" s="36" t="s">
        <v>734</v>
      </c>
      <c r="Q149" s="191" t="b">
        <v>1</v>
      </c>
      <c r="R149" s="191" t="s">
        <v>737</v>
      </c>
      <c r="S149" s="36" t="s">
        <v>230</v>
      </c>
    </row>
    <row r="150" spans="1:19">
      <c r="A150" s="192">
        <v>36</v>
      </c>
      <c r="B150" s="38">
        <v>44752</v>
      </c>
      <c r="C150" s="36" t="s">
        <v>387</v>
      </c>
      <c r="E150" s="36" t="s">
        <v>503</v>
      </c>
      <c r="F150" s="36" t="s">
        <v>106</v>
      </c>
      <c r="G150" s="36" t="s">
        <v>107</v>
      </c>
      <c r="H150" s="36">
        <v>19800</v>
      </c>
      <c r="I150" s="36">
        <v>19800</v>
      </c>
      <c r="J150" s="36">
        <f t="shared" si="13"/>
        <v>0</v>
      </c>
      <c r="K150" s="37">
        <v>0.4</v>
      </c>
      <c r="L150" s="36">
        <f t="shared" si="14"/>
        <v>7920</v>
      </c>
      <c r="M150" s="192">
        <f t="shared" si="9"/>
        <v>0</v>
      </c>
      <c r="N150" s="38">
        <v>44761</v>
      </c>
      <c r="O150" s="36" t="s">
        <v>482</v>
      </c>
      <c r="P150" s="36" t="s">
        <v>734</v>
      </c>
      <c r="Q150" s="191" t="b">
        <v>1</v>
      </c>
      <c r="R150" s="191" t="s">
        <v>737</v>
      </c>
      <c r="S150" s="36" t="s">
        <v>230</v>
      </c>
    </row>
    <row r="151" spans="1:19">
      <c r="A151" s="192">
        <v>36</v>
      </c>
      <c r="B151" s="38">
        <v>44752</v>
      </c>
      <c r="C151" s="36" t="s">
        <v>387</v>
      </c>
      <c r="E151" s="36" t="s">
        <v>504</v>
      </c>
      <c r="F151" s="36" t="s">
        <v>106</v>
      </c>
      <c r="G151" s="36" t="s">
        <v>505</v>
      </c>
      <c r="H151" s="36">
        <v>23800</v>
      </c>
      <c r="I151" s="36">
        <v>23800</v>
      </c>
      <c r="J151" s="36">
        <f t="shared" si="13"/>
        <v>0</v>
      </c>
      <c r="K151" s="37">
        <v>0.4</v>
      </c>
      <c r="L151" s="36">
        <f t="shared" si="14"/>
        <v>9520</v>
      </c>
      <c r="M151" s="192">
        <f t="shared" ref="M151:M214" si="15">J151*K151</f>
        <v>0</v>
      </c>
      <c r="N151" s="38">
        <v>44761</v>
      </c>
      <c r="O151" s="36" t="s">
        <v>482</v>
      </c>
      <c r="P151" s="36" t="s">
        <v>734</v>
      </c>
      <c r="Q151" s="191" t="b">
        <v>1</v>
      </c>
      <c r="R151" s="191" t="s">
        <v>737</v>
      </c>
      <c r="S151" s="36" t="s">
        <v>230</v>
      </c>
    </row>
    <row r="152" spans="1:19">
      <c r="A152" s="192">
        <v>36</v>
      </c>
      <c r="B152" s="38">
        <v>44752</v>
      </c>
      <c r="C152" s="36" t="s">
        <v>387</v>
      </c>
      <c r="E152" s="36" t="s">
        <v>504</v>
      </c>
      <c r="F152" s="36" t="s">
        <v>111</v>
      </c>
      <c r="G152" s="36" t="s">
        <v>506</v>
      </c>
      <c r="H152" s="36">
        <v>14800</v>
      </c>
      <c r="I152" s="36">
        <v>14800</v>
      </c>
      <c r="J152" s="36">
        <f t="shared" si="13"/>
        <v>0</v>
      </c>
      <c r="K152" s="37">
        <v>0.4</v>
      </c>
      <c r="L152" s="36">
        <f t="shared" si="14"/>
        <v>5920</v>
      </c>
      <c r="M152" s="192">
        <f t="shared" si="15"/>
        <v>0</v>
      </c>
      <c r="N152" s="38">
        <v>44761</v>
      </c>
      <c r="O152" s="36" t="s">
        <v>482</v>
      </c>
      <c r="P152" s="36" t="s">
        <v>734</v>
      </c>
      <c r="Q152" s="191" t="b">
        <v>1</v>
      </c>
      <c r="R152" s="191" t="s">
        <v>737</v>
      </c>
      <c r="S152" s="36" t="s">
        <v>230</v>
      </c>
    </row>
    <row r="153" spans="1:19">
      <c r="A153" s="192">
        <v>36</v>
      </c>
      <c r="B153" s="38">
        <v>44754</v>
      </c>
      <c r="C153" s="36" t="s">
        <v>387</v>
      </c>
      <c r="E153" s="36" t="s">
        <v>390</v>
      </c>
      <c r="F153" s="36" t="s">
        <v>111</v>
      </c>
      <c r="G153" s="36" t="s">
        <v>509</v>
      </c>
      <c r="H153" s="36">
        <v>27600</v>
      </c>
      <c r="I153" s="36">
        <v>27600</v>
      </c>
      <c r="J153" s="36">
        <f t="shared" si="13"/>
        <v>0</v>
      </c>
      <c r="K153" s="37">
        <v>0.4</v>
      </c>
      <c r="L153" s="36">
        <f t="shared" si="14"/>
        <v>11040</v>
      </c>
      <c r="M153" s="192">
        <f t="shared" si="15"/>
        <v>0</v>
      </c>
      <c r="N153" s="38">
        <v>44761</v>
      </c>
      <c r="O153" s="36" t="s">
        <v>482</v>
      </c>
      <c r="P153" s="36" t="s">
        <v>734</v>
      </c>
      <c r="Q153" s="191" t="b">
        <v>1</v>
      </c>
      <c r="R153" s="191" t="s">
        <v>737</v>
      </c>
      <c r="S153" s="36" t="s">
        <v>230</v>
      </c>
    </row>
    <row r="154" spans="1:19">
      <c r="A154" s="192">
        <v>36</v>
      </c>
      <c r="B154" s="38">
        <v>44754</v>
      </c>
      <c r="C154" s="36" t="s">
        <v>387</v>
      </c>
      <c r="E154" s="36" t="s">
        <v>507</v>
      </c>
      <c r="F154" s="36" t="s">
        <v>106</v>
      </c>
      <c r="G154" s="36" t="s">
        <v>404</v>
      </c>
      <c r="H154" s="36">
        <v>5880</v>
      </c>
      <c r="I154" s="36">
        <v>5880</v>
      </c>
      <c r="J154" s="36">
        <f t="shared" si="13"/>
        <v>0</v>
      </c>
      <c r="K154" s="37">
        <v>0.4</v>
      </c>
      <c r="L154" s="36">
        <f t="shared" si="14"/>
        <v>2352</v>
      </c>
      <c r="M154" s="192">
        <f t="shared" si="15"/>
        <v>0</v>
      </c>
      <c r="N154" s="38">
        <v>44761</v>
      </c>
      <c r="O154" s="36" t="s">
        <v>482</v>
      </c>
      <c r="P154" s="36" t="s">
        <v>734</v>
      </c>
      <c r="Q154" s="191" t="b">
        <v>1</v>
      </c>
      <c r="R154" s="191" t="s">
        <v>737</v>
      </c>
      <c r="S154" s="36" t="s">
        <v>230</v>
      </c>
    </row>
    <row r="155" spans="1:19">
      <c r="A155" s="192">
        <v>36</v>
      </c>
      <c r="B155" s="38">
        <v>44754</v>
      </c>
      <c r="C155" s="36" t="s">
        <v>387</v>
      </c>
      <c r="E155" s="36" t="s">
        <v>508</v>
      </c>
      <c r="F155" s="36" t="s">
        <v>106</v>
      </c>
      <c r="G155" s="36" t="s">
        <v>443</v>
      </c>
      <c r="H155" s="36">
        <v>3980</v>
      </c>
      <c r="I155" s="36">
        <v>3980</v>
      </c>
      <c r="J155" s="36">
        <f t="shared" si="13"/>
        <v>0</v>
      </c>
      <c r="K155" s="37">
        <v>0.4</v>
      </c>
      <c r="L155" s="36">
        <f t="shared" si="14"/>
        <v>1592</v>
      </c>
      <c r="M155" s="192">
        <f t="shared" si="15"/>
        <v>0</v>
      </c>
      <c r="N155" s="38">
        <v>44761</v>
      </c>
      <c r="O155" s="36" t="s">
        <v>482</v>
      </c>
      <c r="P155" s="36" t="s">
        <v>734</v>
      </c>
      <c r="Q155" s="191" t="b">
        <v>1</v>
      </c>
      <c r="R155" s="191" t="s">
        <v>737</v>
      </c>
      <c r="S155" s="36" t="s">
        <v>230</v>
      </c>
    </row>
    <row r="156" spans="1:19">
      <c r="A156" s="192">
        <v>36</v>
      </c>
      <c r="B156" s="38">
        <v>44755</v>
      </c>
      <c r="C156" s="36" t="s">
        <v>387</v>
      </c>
      <c r="E156" s="36" t="s">
        <v>434</v>
      </c>
      <c r="F156" s="36" t="s">
        <v>106</v>
      </c>
      <c r="G156" s="36" t="s">
        <v>510</v>
      </c>
      <c r="H156" s="36">
        <v>11800</v>
      </c>
      <c r="I156" s="36">
        <v>11800</v>
      </c>
      <c r="J156" s="36">
        <f t="shared" si="13"/>
        <v>0</v>
      </c>
      <c r="K156" s="37">
        <v>0.4</v>
      </c>
      <c r="L156" s="36">
        <f t="shared" si="14"/>
        <v>4720</v>
      </c>
      <c r="M156" s="192">
        <f t="shared" si="15"/>
        <v>0</v>
      </c>
      <c r="N156" s="38">
        <v>44761</v>
      </c>
      <c r="O156" s="36" t="s">
        <v>482</v>
      </c>
      <c r="P156" s="36" t="s">
        <v>734</v>
      </c>
      <c r="Q156" s="191" t="b">
        <v>1</v>
      </c>
      <c r="R156" s="191" t="s">
        <v>737</v>
      </c>
      <c r="S156" s="36" t="s">
        <v>230</v>
      </c>
    </row>
    <row r="157" spans="1:19">
      <c r="A157" s="192">
        <v>36</v>
      </c>
      <c r="B157" s="38">
        <v>44755</v>
      </c>
      <c r="C157" s="36" t="s">
        <v>387</v>
      </c>
      <c r="E157" s="36" t="s">
        <v>468</v>
      </c>
      <c r="F157" s="36" t="s">
        <v>106</v>
      </c>
      <c r="G157" s="36" t="s">
        <v>511</v>
      </c>
      <c r="H157" s="36">
        <v>41280</v>
      </c>
      <c r="I157" s="36">
        <v>41280</v>
      </c>
      <c r="J157" s="36">
        <f t="shared" si="13"/>
        <v>0</v>
      </c>
      <c r="K157" s="37">
        <v>0.4</v>
      </c>
      <c r="L157" s="36">
        <f t="shared" si="14"/>
        <v>16512</v>
      </c>
      <c r="M157" s="36">
        <f t="shared" si="15"/>
        <v>0</v>
      </c>
      <c r="N157" s="38">
        <v>44761</v>
      </c>
      <c r="O157" s="36" t="s">
        <v>482</v>
      </c>
      <c r="P157" s="36" t="s">
        <v>734</v>
      </c>
      <c r="Q157" s="191" t="b">
        <v>1</v>
      </c>
      <c r="R157" s="191" t="s">
        <v>737</v>
      </c>
      <c r="S157" s="36" t="s">
        <v>230</v>
      </c>
    </row>
    <row r="158" spans="1:19">
      <c r="A158" s="192">
        <v>36</v>
      </c>
      <c r="B158" s="38">
        <v>44755</v>
      </c>
      <c r="C158" s="36" t="s">
        <v>387</v>
      </c>
      <c r="E158" s="36" t="s">
        <v>512</v>
      </c>
      <c r="F158" s="36" t="s">
        <v>106</v>
      </c>
      <c r="G158" s="36" t="s">
        <v>228</v>
      </c>
      <c r="H158" s="36">
        <v>19920</v>
      </c>
      <c r="I158" s="36">
        <v>19920</v>
      </c>
      <c r="J158" s="36">
        <f t="shared" si="13"/>
        <v>0</v>
      </c>
      <c r="K158" s="37">
        <v>0.4</v>
      </c>
      <c r="L158" s="36">
        <f t="shared" si="14"/>
        <v>7968</v>
      </c>
      <c r="M158" s="36">
        <f t="shared" si="15"/>
        <v>0</v>
      </c>
      <c r="N158" s="38">
        <v>44761</v>
      </c>
      <c r="O158" s="36" t="s">
        <v>482</v>
      </c>
      <c r="P158" s="36" t="s">
        <v>734</v>
      </c>
      <c r="Q158" s="191" t="b">
        <v>1</v>
      </c>
      <c r="R158" s="191" t="s">
        <v>737</v>
      </c>
      <c r="S158" s="36" t="s">
        <v>230</v>
      </c>
    </row>
    <row r="159" spans="1:19">
      <c r="A159" s="207">
        <v>36</v>
      </c>
      <c r="B159" s="208">
        <v>44754</v>
      </c>
      <c r="C159" s="209" t="s">
        <v>387</v>
      </c>
      <c r="D159" s="209"/>
      <c r="E159" s="209" t="s">
        <v>457</v>
      </c>
      <c r="F159" s="209" t="s">
        <v>106</v>
      </c>
      <c r="G159" s="209" t="s">
        <v>107</v>
      </c>
      <c r="H159" s="209">
        <v>6900</v>
      </c>
      <c r="I159" s="209">
        <v>2000</v>
      </c>
      <c r="J159" s="209">
        <f t="shared" si="13"/>
        <v>4900</v>
      </c>
      <c r="K159" s="210">
        <v>1</v>
      </c>
      <c r="L159" s="209">
        <f t="shared" si="14"/>
        <v>2000</v>
      </c>
      <c r="M159" s="207">
        <f t="shared" si="15"/>
        <v>4900</v>
      </c>
      <c r="N159" s="38">
        <v>44754</v>
      </c>
      <c r="O159" s="36" t="s">
        <v>457</v>
      </c>
      <c r="P159" s="36" t="s">
        <v>116</v>
      </c>
    </row>
    <row r="160" spans="1:19">
      <c r="A160" s="36">
        <v>37</v>
      </c>
      <c r="B160" s="38">
        <v>44757</v>
      </c>
      <c r="C160" s="36" t="s">
        <v>493</v>
      </c>
      <c r="D160" s="36" t="s">
        <v>708</v>
      </c>
      <c r="E160" s="36" t="s">
        <v>513</v>
      </c>
      <c r="F160" s="36" t="s">
        <v>106</v>
      </c>
      <c r="G160" s="36" t="s">
        <v>514</v>
      </c>
      <c r="H160" s="36">
        <f>29800+4980</f>
        <v>34780</v>
      </c>
      <c r="I160" s="36">
        <v>34780</v>
      </c>
      <c r="J160" s="36">
        <f t="shared" si="13"/>
        <v>0</v>
      </c>
      <c r="K160" s="37">
        <v>0.375</v>
      </c>
      <c r="L160" s="36">
        <f t="shared" si="14"/>
        <v>13042.5</v>
      </c>
      <c r="M160" s="36">
        <f t="shared" si="15"/>
        <v>0</v>
      </c>
      <c r="N160" s="38">
        <v>44760</v>
      </c>
      <c r="O160" s="36" t="s">
        <v>220</v>
      </c>
      <c r="P160" s="36" t="s">
        <v>734</v>
      </c>
      <c r="Q160" s="191" t="b">
        <v>1</v>
      </c>
      <c r="R160" s="191" t="s">
        <v>737</v>
      </c>
      <c r="S160" s="192" t="s">
        <v>230</v>
      </c>
    </row>
    <row r="161" spans="1:19">
      <c r="A161" s="36">
        <v>37</v>
      </c>
      <c r="B161" s="38">
        <v>44757</v>
      </c>
      <c r="C161" s="36" t="s">
        <v>493</v>
      </c>
      <c r="D161" s="36" t="s">
        <v>708</v>
      </c>
      <c r="E161" s="36" t="s">
        <v>513</v>
      </c>
      <c r="F161" s="36" t="s">
        <v>111</v>
      </c>
      <c r="G161" s="36" t="s">
        <v>515</v>
      </c>
      <c r="H161" s="36">
        <v>6880</v>
      </c>
      <c r="I161" s="36">
        <v>6880</v>
      </c>
      <c r="J161" s="36">
        <f t="shared" si="13"/>
        <v>0</v>
      </c>
      <c r="K161" s="37">
        <v>0.375</v>
      </c>
      <c r="L161" s="36">
        <f t="shared" si="14"/>
        <v>2580</v>
      </c>
      <c r="M161" s="36">
        <f t="shared" si="15"/>
        <v>0</v>
      </c>
      <c r="N161" s="38">
        <v>44760</v>
      </c>
      <c r="O161" s="36" t="s">
        <v>220</v>
      </c>
      <c r="P161" s="36" t="s">
        <v>734</v>
      </c>
      <c r="Q161" s="191" t="b">
        <v>1</v>
      </c>
      <c r="R161" s="191" t="s">
        <v>737</v>
      </c>
      <c r="S161" s="192" t="s">
        <v>230</v>
      </c>
    </row>
    <row r="162" spans="1:19">
      <c r="A162" s="36">
        <v>37</v>
      </c>
      <c r="B162" s="38">
        <v>44757</v>
      </c>
      <c r="C162" s="36" t="s">
        <v>493</v>
      </c>
      <c r="D162" s="36" t="s">
        <v>708</v>
      </c>
      <c r="E162" s="36" t="s">
        <v>134</v>
      </c>
      <c r="F162" s="36" t="s">
        <v>111</v>
      </c>
      <c r="G162" s="36" t="s">
        <v>516</v>
      </c>
      <c r="H162" s="36">
        <v>3980</v>
      </c>
      <c r="I162" s="36">
        <v>3980</v>
      </c>
      <c r="J162" s="36">
        <f t="shared" si="13"/>
        <v>0</v>
      </c>
      <c r="K162" s="37">
        <v>0.375</v>
      </c>
      <c r="L162" s="36">
        <f t="shared" si="14"/>
        <v>1492.5</v>
      </c>
      <c r="M162" s="36">
        <f t="shared" si="15"/>
        <v>0</v>
      </c>
      <c r="N162" s="38">
        <v>44760</v>
      </c>
      <c r="O162" s="36" t="s">
        <v>220</v>
      </c>
      <c r="P162" s="36" t="s">
        <v>734</v>
      </c>
      <c r="Q162" s="191" t="b">
        <v>1</v>
      </c>
      <c r="R162" s="191" t="s">
        <v>737</v>
      </c>
      <c r="S162" s="192" t="s">
        <v>230</v>
      </c>
    </row>
    <row r="163" spans="1:19">
      <c r="A163" s="36">
        <v>37</v>
      </c>
      <c r="B163" s="38">
        <v>44758</v>
      </c>
      <c r="C163" s="36" t="s">
        <v>493</v>
      </c>
      <c r="D163" s="36" t="s">
        <v>709</v>
      </c>
      <c r="E163" s="36" t="s">
        <v>517</v>
      </c>
      <c r="F163" s="36" t="s">
        <v>106</v>
      </c>
      <c r="G163" s="36" t="s">
        <v>518</v>
      </c>
      <c r="H163" s="36">
        <v>19800</v>
      </c>
      <c r="I163" s="36">
        <v>19800</v>
      </c>
      <c r="J163" s="36">
        <f t="shared" si="13"/>
        <v>0</v>
      </c>
      <c r="K163" s="37">
        <v>0.375</v>
      </c>
      <c r="L163" s="36">
        <f t="shared" si="14"/>
        <v>7425</v>
      </c>
      <c r="M163" s="36">
        <f t="shared" si="15"/>
        <v>0</v>
      </c>
      <c r="N163" s="38">
        <v>44760</v>
      </c>
      <c r="O163" s="36" t="s">
        <v>220</v>
      </c>
      <c r="P163" s="36" t="s">
        <v>734</v>
      </c>
      <c r="Q163" s="191" t="b">
        <v>1</v>
      </c>
      <c r="R163" s="191" t="s">
        <v>737</v>
      </c>
      <c r="S163" s="192" t="s">
        <v>230</v>
      </c>
    </row>
    <row r="164" spans="1:19">
      <c r="A164" s="36">
        <v>37</v>
      </c>
      <c r="B164" s="38">
        <v>44758</v>
      </c>
      <c r="C164" s="36" t="s">
        <v>493</v>
      </c>
      <c r="D164" s="36" t="s">
        <v>709</v>
      </c>
      <c r="E164" s="36" t="s">
        <v>519</v>
      </c>
      <c r="F164" s="36" t="s">
        <v>106</v>
      </c>
      <c r="G164" s="36" t="s">
        <v>520</v>
      </c>
      <c r="H164" s="36">
        <v>39800</v>
      </c>
      <c r="I164" s="36">
        <v>39800</v>
      </c>
      <c r="J164" s="36">
        <f t="shared" si="13"/>
        <v>0</v>
      </c>
      <c r="K164" s="37">
        <v>0.375</v>
      </c>
      <c r="L164" s="36">
        <f t="shared" si="14"/>
        <v>14925</v>
      </c>
      <c r="M164" s="36">
        <f t="shared" si="15"/>
        <v>0</v>
      </c>
      <c r="N164" s="38">
        <v>44760</v>
      </c>
      <c r="O164" s="36" t="s">
        <v>220</v>
      </c>
      <c r="P164" s="36" t="s">
        <v>734</v>
      </c>
      <c r="Q164" s="191" t="b">
        <v>1</v>
      </c>
      <c r="R164" s="191" t="s">
        <v>737</v>
      </c>
      <c r="S164" s="192" t="s">
        <v>230</v>
      </c>
    </row>
    <row r="165" spans="1:19">
      <c r="A165" s="36">
        <v>37</v>
      </c>
      <c r="B165" s="38">
        <v>44759</v>
      </c>
      <c r="C165" s="36" t="s">
        <v>493</v>
      </c>
      <c r="D165" s="36" t="s">
        <v>708</v>
      </c>
      <c r="E165" s="36" t="s">
        <v>139</v>
      </c>
      <c r="F165" s="36" t="s">
        <v>111</v>
      </c>
      <c r="G165" s="36" t="s">
        <v>521</v>
      </c>
      <c r="H165" s="36">
        <v>3280</v>
      </c>
      <c r="I165" s="36">
        <v>3280</v>
      </c>
      <c r="J165" s="36">
        <f t="shared" si="13"/>
        <v>0</v>
      </c>
      <c r="K165" s="37">
        <v>0.375</v>
      </c>
      <c r="L165" s="36">
        <f t="shared" si="14"/>
        <v>1230</v>
      </c>
      <c r="M165" s="36">
        <f t="shared" si="15"/>
        <v>0</v>
      </c>
      <c r="N165" s="38">
        <v>44760</v>
      </c>
      <c r="O165" s="36" t="s">
        <v>220</v>
      </c>
      <c r="P165" s="36" t="s">
        <v>734</v>
      </c>
      <c r="Q165" s="191" t="b">
        <v>1</v>
      </c>
      <c r="R165" s="191" t="s">
        <v>737</v>
      </c>
      <c r="S165" s="192" t="s">
        <v>230</v>
      </c>
    </row>
    <row r="166" spans="1:19">
      <c r="A166" s="36">
        <v>38</v>
      </c>
      <c r="B166" s="38">
        <v>44760</v>
      </c>
      <c r="C166" s="36" t="s">
        <v>387</v>
      </c>
      <c r="E166" s="36" t="s">
        <v>522</v>
      </c>
      <c r="F166" s="36" t="s">
        <v>106</v>
      </c>
      <c r="G166" s="36" t="s">
        <v>402</v>
      </c>
      <c r="H166" s="36">
        <v>24900</v>
      </c>
      <c r="I166" s="36">
        <v>24900</v>
      </c>
      <c r="J166" s="36">
        <f t="shared" si="13"/>
        <v>0</v>
      </c>
      <c r="K166" s="37">
        <v>0.4</v>
      </c>
      <c r="L166" s="36">
        <f t="shared" si="14"/>
        <v>9960</v>
      </c>
      <c r="M166" s="36">
        <f t="shared" si="15"/>
        <v>0</v>
      </c>
      <c r="N166" s="38">
        <v>44779</v>
      </c>
      <c r="O166" s="36" t="s">
        <v>482</v>
      </c>
      <c r="P166" s="36" t="s">
        <v>734</v>
      </c>
      <c r="Q166" s="191" t="b">
        <v>1</v>
      </c>
      <c r="R166" s="191" t="s">
        <v>737</v>
      </c>
      <c r="S166" s="36" t="s">
        <v>230</v>
      </c>
    </row>
    <row r="167" spans="1:19">
      <c r="A167" s="36">
        <v>38</v>
      </c>
      <c r="B167" s="38">
        <v>44760</v>
      </c>
      <c r="C167" s="36" t="s">
        <v>387</v>
      </c>
      <c r="E167" s="36" t="s">
        <v>523</v>
      </c>
      <c r="F167" s="36" t="s">
        <v>106</v>
      </c>
      <c r="G167" s="36" t="s">
        <v>226</v>
      </c>
      <c r="H167" s="36">
        <v>13800</v>
      </c>
      <c r="I167" s="36">
        <v>13800</v>
      </c>
      <c r="J167" s="36">
        <f t="shared" si="13"/>
        <v>0</v>
      </c>
      <c r="K167" s="37">
        <v>0.4</v>
      </c>
      <c r="L167" s="36">
        <f t="shared" si="14"/>
        <v>5520</v>
      </c>
      <c r="M167" s="36">
        <f t="shared" si="15"/>
        <v>0</v>
      </c>
      <c r="N167" s="38">
        <v>44779</v>
      </c>
      <c r="O167" s="36" t="s">
        <v>482</v>
      </c>
      <c r="P167" s="36" t="s">
        <v>734</v>
      </c>
      <c r="Q167" s="191" t="b">
        <v>1</v>
      </c>
      <c r="R167" s="191" t="s">
        <v>737</v>
      </c>
      <c r="S167" s="36" t="s">
        <v>230</v>
      </c>
    </row>
    <row r="168" spans="1:19">
      <c r="A168" s="36">
        <v>38</v>
      </c>
      <c r="B168" s="38">
        <v>44761</v>
      </c>
      <c r="C168" s="36" t="s">
        <v>387</v>
      </c>
      <c r="E168" s="36" t="s">
        <v>523</v>
      </c>
      <c r="F168" s="36" t="s">
        <v>106</v>
      </c>
      <c r="G168" s="36" t="s">
        <v>524</v>
      </c>
      <c r="H168" s="36">
        <v>4980</v>
      </c>
      <c r="I168" s="36">
        <v>4980</v>
      </c>
      <c r="J168" s="36">
        <f t="shared" si="13"/>
        <v>0</v>
      </c>
      <c r="K168" s="37">
        <v>0.4</v>
      </c>
      <c r="L168" s="36">
        <f t="shared" si="14"/>
        <v>1992</v>
      </c>
      <c r="M168" s="36">
        <f t="shared" si="15"/>
        <v>0</v>
      </c>
      <c r="N168" s="38">
        <v>44779</v>
      </c>
      <c r="O168" s="36" t="s">
        <v>482</v>
      </c>
      <c r="P168" s="36" t="s">
        <v>734</v>
      </c>
      <c r="Q168" s="191" t="b">
        <v>1</v>
      </c>
      <c r="R168" s="191" t="s">
        <v>737</v>
      </c>
      <c r="S168" s="36" t="s">
        <v>230</v>
      </c>
    </row>
    <row r="169" spans="1:19">
      <c r="A169" s="36">
        <v>39</v>
      </c>
      <c r="B169" s="38">
        <v>44761</v>
      </c>
      <c r="C169" s="36" t="s">
        <v>493</v>
      </c>
      <c r="D169" s="36" t="s">
        <v>708</v>
      </c>
      <c r="E169" s="36" t="s">
        <v>525</v>
      </c>
      <c r="F169" s="36" t="s">
        <v>106</v>
      </c>
      <c r="G169" s="36" t="s">
        <v>402</v>
      </c>
      <c r="H169" s="209">
        <v>34900</v>
      </c>
      <c r="I169" s="36">
        <v>34900</v>
      </c>
      <c r="J169" s="36">
        <f t="shared" ref="J169:J200" si="16">H169-I169</f>
        <v>0</v>
      </c>
      <c r="K169" s="37">
        <v>0.375</v>
      </c>
      <c r="L169" s="36">
        <f t="shared" si="14"/>
        <v>13087.5</v>
      </c>
      <c r="M169" s="36">
        <f t="shared" si="15"/>
        <v>0</v>
      </c>
      <c r="N169" s="38">
        <v>44765</v>
      </c>
      <c r="O169" s="36" t="s">
        <v>220</v>
      </c>
      <c r="P169" s="36" t="s">
        <v>734</v>
      </c>
      <c r="Q169" s="191" t="b">
        <v>1</v>
      </c>
      <c r="R169" s="191" t="s">
        <v>737</v>
      </c>
      <c r="S169" s="192" t="s">
        <v>230</v>
      </c>
    </row>
    <row r="170" spans="1:19">
      <c r="A170" s="36">
        <v>39</v>
      </c>
      <c r="B170" s="38">
        <v>44762</v>
      </c>
      <c r="C170" s="36" t="s">
        <v>493</v>
      </c>
      <c r="D170" s="36" t="s">
        <v>716</v>
      </c>
      <c r="E170" s="36" t="s">
        <v>526</v>
      </c>
      <c r="F170" s="36" t="s">
        <v>106</v>
      </c>
      <c r="G170" s="36" t="s">
        <v>527</v>
      </c>
      <c r="H170" s="36">
        <v>3980</v>
      </c>
      <c r="I170" s="36">
        <v>3980</v>
      </c>
      <c r="J170" s="36">
        <f t="shared" si="16"/>
        <v>0</v>
      </c>
      <c r="K170" s="37">
        <v>0.375</v>
      </c>
      <c r="L170" s="36">
        <f t="shared" si="14"/>
        <v>1492.5</v>
      </c>
      <c r="M170" s="36">
        <f t="shared" si="15"/>
        <v>0</v>
      </c>
      <c r="N170" s="38">
        <v>44765</v>
      </c>
      <c r="O170" s="36" t="s">
        <v>220</v>
      </c>
      <c r="P170" s="36" t="s">
        <v>734</v>
      </c>
      <c r="Q170" s="191" t="b">
        <v>1</v>
      </c>
      <c r="R170" s="191" t="s">
        <v>737</v>
      </c>
      <c r="S170" s="192" t="s">
        <v>230</v>
      </c>
    </row>
    <row r="171" spans="1:19">
      <c r="A171" s="36">
        <v>40</v>
      </c>
      <c r="B171" s="38">
        <v>44763</v>
      </c>
      <c r="C171" s="36" t="s">
        <v>529</v>
      </c>
      <c r="E171" s="36" t="s">
        <v>530</v>
      </c>
      <c r="F171" s="36" t="s">
        <v>106</v>
      </c>
      <c r="G171" s="36" t="s">
        <v>404</v>
      </c>
      <c r="H171" s="36">
        <v>1180</v>
      </c>
      <c r="I171" s="36">
        <v>1180</v>
      </c>
      <c r="J171" s="36">
        <f t="shared" si="16"/>
        <v>0</v>
      </c>
      <c r="K171" s="37">
        <v>0.45</v>
      </c>
      <c r="L171" s="36">
        <f t="shared" si="14"/>
        <v>531</v>
      </c>
      <c r="M171" s="36">
        <f t="shared" si="15"/>
        <v>0</v>
      </c>
      <c r="N171" s="38">
        <v>44766</v>
      </c>
      <c r="O171" s="36" t="s">
        <v>544</v>
      </c>
      <c r="P171" s="36" t="s">
        <v>734</v>
      </c>
      <c r="Q171" s="191" t="b">
        <v>1</v>
      </c>
      <c r="R171" s="191" t="s">
        <v>737</v>
      </c>
      <c r="S171" s="36" t="s">
        <v>230</v>
      </c>
    </row>
    <row r="172" spans="1:19">
      <c r="A172" s="36">
        <v>40</v>
      </c>
      <c r="B172" s="38">
        <v>44763</v>
      </c>
      <c r="C172" s="36" t="s">
        <v>529</v>
      </c>
      <c r="E172" s="36" t="s">
        <v>531</v>
      </c>
      <c r="F172" s="36" t="s">
        <v>106</v>
      </c>
      <c r="G172" s="36" t="s">
        <v>404</v>
      </c>
      <c r="H172" s="36">
        <v>2380</v>
      </c>
      <c r="I172" s="36">
        <v>2380</v>
      </c>
      <c r="J172" s="36">
        <f t="shared" si="16"/>
        <v>0</v>
      </c>
      <c r="K172" s="37">
        <v>0.45</v>
      </c>
      <c r="L172" s="36">
        <f t="shared" si="14"/>
        <v>1071</v>
      </c>
      <c r="M172" s="36">
        <f t="shared" si="15"/>
        <v>0</v>
      </c>
      <c r="N172" s="38">
        <v>44766</v>
      </c>
      <c r="O172" s="36" t="s">
        <v>544</v>
      </c>
      <c r="P172" s="36" t="s">
        <v>734</v>
      </c>
      <c r="Q172" s="191" t="b">
        <v>1</v>
      </c>
      <c r="R172" s="191" t="s">
        <v>737</v>
      </c>
      <c r="S172" s="36" t="s">
        <v>230</v>
      </c>
    </row>
    <row r="173" spans="1:19">
      <c r="A173" s="36">
        <v>40</v>
      </c>
      <c r="B173" s="38">
        <v>44763</v>
      </c>
      <c r="C173" s="36" t="s">
        <v>529</v>
      </c>
      <c r="E173" s="36" t="s">
        <v>532</v>
      </c>
      <c r="F173" s="36" t="s">
        <v>106</v>
      </c>
      <c r="G173" s="36" t="s">
        <v>443</v>
      </c>
      <c r="H173" s="36">
        <v>2980</v>
      </c>
      <c r="I173" s="36">
        <v>2980</v>
      </c>
      <c r="J173" s="36">
        <f t="shared" si="16"/>
        <v>0</v>
      </c>
      <c r="K173" s="37">
        <v>0.45</v>
      </c>
      <c r="L173" s="36">
        <f t="shared" ref="L173:L204" si="17">I173*K173</f>
        <v>1341</v>
      </c>
      <c r="M173" s="36">
        <f t="shared" si="15"/>
        <v>0</v>
      </c>
      <c r="N173" s="38">
        <v>44766</v>
      </c>
      <c r="O173" s="36" t="s">
        <v>544</v>
      </c>
      <c r="P173" s="36" t="s">
        <v>734</v>
      </c>
      <c r="Q173" s="191" t="b">
        <v>1</v>
      </c>
      <c r="R173" s="191" t="s">
        <v>737</v>
      </c>
      <c r="S173" s="36" t="s">
        <v>230</v>
      </c>
    </row>
    <row r="174" spans="1:19">
      <c r="A174" s="36">
        <v>40</v>
      </c>
      <c r="B174" s="38">
        <v>44764</v>
      </c>
      <c r="C174" s="36" t="s">
        <v>529</v>
      </c>
      <c r="E174" s="36" t="s">
        <v>533</v>
      </c>
      <c r="F174" s="36" t="s">
        <v>106</v>
      </c>
      <c r="G174" s="36" t="s">
        <v>404</v>
      </c>
      <c r="H174" s="36">
        <v>5680</v>
      </c>
      <c r="I174" s="36">
        <v>5680</v>
      </c>
      <c r="J174" s="36">
        <f t="shared" si="16"/>
        <v>0</v>
      </c>
      <c r="K174" s="37">
        <v>0.45</v>
      </c>
      <c r="L174" s="36">
        <f t="shared" si="17"/>
        <v>2556</v>
      </c>
      <c r="M174" s="36">
        <f t="shared" si="15"/>
        <v>0</v>
      </c>
      <c r="N174" s="38">
        <v>44766</v>
      </c>
      <c r="O174" s="36" t="s">
        <v>544</v>
      </c>
      <c r="P174" s="36" t="s">
        <v>734</v>
      </c>
      <c r="Q174" s="191" t="b">
        <v>1</v>
      </c>
      <c r="R174" s="191" t="s">
        <v>737</v>
      </c>
      <c r="S174" s="36" t="s">
        <v>230</v>
      </c>
    </row>
    <row r="175" spans="1:19">
      <c r="A175" s="36">
        <v>40</v>
      </c>
      <c r="B175" s="38">
        <v>44764</v>
      </c>
      <c r="C175" s="36" t="s">
        <v>529</v>
      </c>
      <c r="E175" s="36" t="s">
        <v>535</v>
      </c>
      <c r="F175" s="36" t="s">
        <v>106</v>
      </c>
      <c r="G175" s="36" t="s">
        <v>417</v>
      </c>
      <c r="H175" s="36">
        <v>13760</v>
      </c>
      <c r="I175" s="36">
        <v>13760</v>
      </c>
      <c r="J175" s="36">
        <f t="shared" si="16"/>
        <v>0</v>
      </c>
      <c r="K175" s="37">
        <v>0.45</v>
      </c>
      <c r="L175" s="36">
        <f t="shared" si="17"/>
        <v>6192</v>
      </c>
      <c r="M175" s="36">
        <f t="shared" si="15"/>
        <v>0</v>
      </c>
      <c r="N175" s="38">
        <v>44766</v>
      </c>
      <c r="O175" s="36" t="s">
        <v>544</v>
      </c>
      <c r="P175" s="36" t="s">
        <v>734</v>
      </c>
      <c r="Q175" s="191" t="b">
        <v>1</v>
      </c>
      <c r="R175" s="191" t="s">
        <v>737</v>
      </c>
      <c r="S175" s="36" t="s">
        <v>230</v>
      </c>
    </row>
    <row r="176" spans="1:19">
      <c r="A176" s="36">
        <v>40</v>
      </c>
      <c r="B176" s="38">
        <v>44764</v>
      </c>
      <c r="C176" s="36" t="s">
        <v>529</v>
      </c>
      <c r="E176" s="36" t="s">
        <v>536</v>
      </c>
      <c r="F176" s="36" t="s">
        <v>106</v>
      </c>
      <c r="G176" s="36" t="s">
        <v>417</v>
      </c>
      <c r="H176" s="36">
        <v>13760</v>
      </c>
      <c r="I176" s="36">
        <v>13760</v>
      </c>
      <c r="J176" s="36">
        <f t="shared" si="16"/>
        <v>0</v>
      </c>
      <c r="K176" s="37">
        <v>0.45</v>
      </c>
      <c r="L176" s="36">
        <f t="shared" si="17"/>
        <v>6192</v>
      </c>
      <c r="M176" s="36">
        <f t="shared" si="15"/>
        <v>0</v>
      </c>
      <c r="N176" s="38">
        <v>44766</v>
      </c>
      <c r="O176" s="36" t="s">
        <v>544</v>
      </c>
      <c r="P176" s="36" t="s">
        <v>734</v>
      </c>
      <c r="Q176" s="191" t="b">
        <v>1</v>
      </c>
      <c r="R176" s="191" t="s">
        <v>737</v>
      </c>
      <c r="S176" s="36" t="s">
        <v>230</v>
      </c>
    </row>
    <row r="177" spans="1:19">
      <c r="A177" s="36">
        <v>40</v>
      </c>
      <c r="B177" s="38">
        <v>44764</v>
      </c>
      <c r="C177" s="36" t="s">
        <v>529</v>
      </c>
      <c r="E177" s="36" t="s">
        <v>537</v>
      </c>
      <c r="F177" s="36" t="s">
        <v>106</v>
      </c>
      <c r="G177" s="36" t="s">
        <v>534</v>
      </c>
      <c r="H177" s="36">
        <v>10580</v>
      </c>
      <c r="I177" s="36">
        <v>10580</v>
      </c>
      <c r="J177" s="36">
        <f t="shared" si="16"/>
        <v>0</v>
      </c>
      <c r="K177" s="37">
        <v>0.45</v>
      </c>
      <c r="L177" s="36">
        <f t="shared" si="17"/>
        <v>4761</v>
      </c>
      <c r="M177" s="36">
        <f t="shared" si="15"/>
        <v>0</v>
      </c>
      <c r="N177" s="38">
        <v>44766</v>
      </c>
      <c r="O177" s="36" t="s">
        <v>544</v>
      </c>
      <c r="P177" s="36" t="s">
        <v>734</v>
      </c>
      <c r="Q177" s="191" t="b">
        <v>1</v>
      </c>
      <c r="R177" s="191" t="s">
        <v>737</v>
      </c>
      <c r="S177" s="36" t="s">
        <v>230</v>
      </c>
    </row>
    <row r="178" spans="1:19">
      <c r="A178" s="36">
        <v>40</v>
      </c>
      <c r="B178" s="38">
        <v>44764</v>
      </c>
      <c r="C178" s="36" t="s">
        <v>529</v>
      </c>
      <c r="E178" s="36" t="s">
        <v>538</v>
      </c>
      <c r="F178" s="36" t="s">
        <v>106</v>
      </c>
      <c r="G178" s="36" t="s">
        <v>417</v>
      </c>
      <c r="H178" s="36">
        <v>11360</v>
      </c>
      <c r="I178" s="36">
        <v>11360</v>
      </c>
      <c r="J178" s="36">
        <f t="shared" si="16"/>
        <v>0</v>
      </c>
      <c r="K178" s="37">
        <v>0.45</v>
      </c>
      <c r="L178" s="36">
        <f t="shared" si="17"/>
        <v>5112</v>
      </c>
      <c r="M178" s="36">
        <f t="shared" si="15"/>
        <v>0</v>
      </c>
      <c r="N178" s="38">
        <v>44766</v>
      </c>
      <c r="O178" s="36" t="s">
        <v>544</v>
      </c>
      <c r="P178" s="36" t="s">
        <v>734</v>
      </c>
      <c r="Q178" s="191" t="b">
        <v>1</v>
      </c>
      <c r="R178" s="191" t="s">
        <v>737</v>
      </c>
      <c r="S178" s="36" t="s">
        <v>230</v>
      </c>
    </row>
    <row r="179" spans="1:19">
      <c r="A179" s="36">
        <v>40</v>
      </c>
      <c r="B179" s="38">
        <v>44765</v>
      </c>
      <c r="C179" s="36" t="s">
        <v>529</v>
      </c>
      <c r="E179" s="36" t="s">
        <v>536</v>
      </c>
      <c r="F179" s="36" t="s">
        <v>106</v>
      </c>
      <c r="G179" s="36" t="s">
        <v>541</v>
      </c>
      <c r="H179" s="36">
        <v>13800</v>
      </c>
      <c r="I179" s="36">
        <v>13800</v>
      </c>
      <c r="J179" s="36">
        <f t="shared" si="16"/>
        <v>0</v>
      </c>
      <c r="K179" s="37">
        <v>0.45</v>
      </c>
      <c r="L179" s="36">
        <f t="shared" si="17"/>
        <v>6210</v>
      </c>
      <c r="M179" s="36">
        <f t="shared" si="15"/>
        <v>0</v>
      </c>
      <c r="N179" s="38">
        <v>44766</v>
      </c>
      <c r="O179" s="36" t="s">
        <v>544</v>
      </c>
      <c r="P179" s="36" t="s">
        <v>734</v>
      </c>
      <c r="Q179" s="191" t="b">
        <v>1</v>
      </c>
      <c r="R179" s="191" t="s">
        <v>737</v>
      </c>
      <c r="S179" s="36" t="s">
        <v>230</v>
      </c>
    </row>
    <row r="180" spans="1:19">
      <c r="A180" s="36">
        <v>40</v>
      </c>
      <c r="B180" s="38">
        <v>44765</v>
      </c>
      <c r="C180" s="36" t="s">
        <v>529</v>
      </c>
      <c r="E180" s="36" t="s">
        <v>540</v>
      </c>
      <c r="F180" s="36" t="s">
        <v>106</v>
      </c>
      <c r="G180" s="36" t="s">
        <v>542</v>
      </c>
      <c r="H180" s="36">
        <v>9960</v>
      </c>
      <c r="I180" s="36">
        <v>9960</v>
      </c>
      <c r="J180" s="36">
        <f t="shared" si="16"/>
        <v>0</v>
      </c>
      <c r="K180" s="37">
        <v>0.45</v>
      </c>
      <c r="L180" s="36">
        <f t="shared" si="17"/>
        <v>4482</v>
      </c>
      <c r="M180" s="36">
        <f t="shared" si="15"/>
        <v>0</v>
      </c>
      <c r="N180" s="38">
        <v>44766</v>
      </c>
      <c r="O180" s="36" t="s">
        <v>544</v>
      </c>
      <c r="P180" s="36" t="s">
        <v>734</v>
      </c>
      <c r="Q180" s="191" t="b">
        <v>1</v>
      </c>
      <c r="R180" s="191" t="s">
        <v>737</v>
      </c>
      <c r="S180" s="36" t="s">
        <v>230</v>
      </c>
    </row>
    <row r="181" spans="1:19">
      <c r="A181" s="36">
        <v>40</v>
      </c>
      <c r="B181" s="38">
        <v>44765</v>
      </c>
      <c r="C181" s="36" t="s">
        <v>529</v>
      </c>
      <c r="E181" s="36" t="s">
        <v>539</v>
      </c>
      <c r="F181" s="36" t="s">
        <v>106</v>
      </c>
      <c r="G181" s="36" t="s">
        <v>543</v>
      </c>
      <c r="H181" s="36">
        <v>10860</v>
      </c>
      <c r="I181" s="36">
        <v>10860</v>
      </c>
      <c r="J181" s="36">
        <f t="shared" si="16"/>
        <v>0</v>
      </c>
      <c r="K181" s="37">
        <v>0.45</v>
      </c>
      <c r="L181" s="36">
        <f t="shared" si="17"/>
        <v>4887</v>
      </c>
      <c r="M181" s="36">
        <f t="shared" si="15"/>
        <v>0</v>
      </c>
      <c r="N181" s="38">
        <v>44766</v>
      </c>
      <c r="O181" s="36" t="s">
        <v>544</v>
      </c>
      <c r="P181" s="36" t="s">
        <v>734</v>
      </c>
      <c r="Q181" s="191" t="b">
        <v>1</v>
      </c>
      <c r="R181" s="191" t="s">
        <v>737</v>
      </c>
      <c r="S181" s="36" t="s">
        <v>230</v>
      </c>
    </row>
    <row r="182" spans="1:19">
      <c r="A182" s="36">
        <v>41</v>
      </c>
      <c r="B182" s="38">
        <v>44768</v>
      </c>
      <c r="C182" s="36" t="s">
        <v>387</v>
      </c>
      <c r="E182" s="36" t="s">
        <v>522</v>
      </c>
      <c r="F182" s="36" t="s">
        <v>106</v>
      </c>
      <c r="G182" s="36" t="s">
        <v>545</v>
      </c>
      <c r="H182" s="36">
        <v>6880</v>
      </c>
      <c r="I182" s="36">
        <v>6880</v>
      </c>
      <c r="J182" s="36">
        <f t="shared" si="16"/>
        <v>0</v>
      </c>
      <c r="K182" s="37">
        <v>0.4</v>
      </c>
      <c r="L182" s="36">
        <f t="shared" si="17"/>
        <v>2752</v>
      </c>
      <c r="M182" s="36">
        <f t="shared" si="15"/>
        <v>0</v>
      </c>
      <c r="N182" s="38">
        <v>44779</v>
      </c>
      <c r="O182" s="36" t="s">
        <v>482</v>
      </c>
      <c r="P182" s="36" t="s">
        <v>734</v>
      </c>
      <c r="Q182" s="191" t="b">
        <v>1</v>
      </c>
      <c r="R182" s="191" t="s">
        <v>737</v>
      </c>
      <c r="S182" s="36" t="s">
        <v>230</v>
      </c>
    </row>
    <row r="183" spans="1:19">
      <c r="A183" s="36">
        <v>42</v>
      </c>
      <c r="B183" s="38">
        <v>44770</v>
      </c>
      <c r="C183" s="36" t="s">
        <v>387</v>
      </c>
      <c r="E183" s="36" t="s">
        <v>457</v>
      </c>
      <c r="F183" s="36" t="s">
        <v>185</v>
      </c>
      <c r="G183" s="36" t="s">
        <v>546</v>
      </c>
      <c r="H183" s="36">
        <v>0</v>
      </c>
      <c r="I183" s="36">
        <v>4900</v>
      </c>
      <c r="J183" s="36">
        <f t="shared" si="16"/>
        <v>-4900</v>
      </c>
      <c r="K183" s="37">
        <v>1</v>
      </c>
      <c r="L183" s="36">
        <f t="shared" si="17"/>
        <v>4900</v>
      </c>
      <c r="M183" s="36">
        <f t="shared" si="15"/>
        <v>-4900</v>
      </c>
      <c r="N183" s="38">
        <v>44770</v>
      </c>
      <c r="O183" s="36" t="s">
        <v>457</v>
      </c>
      <c r="P183" s="36" t="s">
        <v>116</v>
      </c>
    </row>
    <row r="184" spans="1:19">
      <c r="A184" s="36">
        <v>43</v>
      </c>
      <c r="B184" s="38">
        <v>44771</v>
      </c>
      <c r="C184" s="36" t="s">
        <v>714</v>
      </c>
      <c r="D184" s="36" t="s">
        <v>708</v>
      </c>
      <c r="E184" s="36" t="s">
        <v>562</v>
      </c>
      <c r="F184" s="36" t="s">
        <v>106</v>
      </c>
      <c r="G184" s="36" t="s">
        <v>561</v>
      </c>
      <c r="H184" s="36">
        <v>39800</v>
      </c>
      <c r="I184" s="36">
        <v>39800</v>
      </c>
      <c r="J184" s="36">
        <f t="shared" si="16"/>
        <v>0</v>
      </c>
      <c r="K184" s="37">
        <v>0.4</v>
      </c>
      <c r="L184" s="36">
        <f t="shared" si="17"/>
        <v>15920</v>
      </c>
      <c r="M184" s="36">
        <f t="shared" si="15"/>
        <v>0</v>
      </c>
      <c r="N184" s="38">
        <v>44772</v>
      </c>
      <c r="O184" s="36" t="s">
        <v>483</v>
      </c>
      <c r="P184" s="36" t="s">
        <v>116</v>
      </c>
    </row>
    <row r="185" spans="1:19" ht="15" customHeight="1">
      <c r="A185" s="36">
        <v>44</v>
      </c>
      <c r="B185" s="38">
        <v>44772</v>
      </c>
      <c r="C185" s="36" t="s">
        <v>493</v>
      </c>
      <c r="D185" s="36" t="s">
        <v>709</v>
      </c>
      <c r="E185" s="36" t="s">
        <v>563</v>
      </c>
      <c r="F185" s="36" t="s">
        <v>106</v>
      </c>
      <c r="G185" s="36" t="s">
        <v>143</v>
      </c>
      <c r="H185" s="36">
        <v>59800</v>
      </c>
      <c r="I185" s="36">
        <v>59800</v>
      </c>
      <c r="J185" s="36">
        <f t="shared" si="16"/>
        <v>0</v>
      </c>
      <c r="K185" s="37">
        <v>0.375</v>
      </c>
      <c r="L185" s="36">
        <f t="shared" si="17"/>
        <v>22425</v>
      </c>
      <c r="M185" s="36">
        <f t="shared" si="15"/>
        <v>0</v>
      </c>
      <c r="N185" s="38">
        <v>44781</v>
      </c>
      <c r="O185" s="36" t="s">
        <v>220</v>
      </c>
      <c r="P185" s="36" t="s">
        <v>734</v>
      </c>
      <c r="Q185" s="191" t="b">
        <v>1</v>
      </c>
      <c r="R185" s="191" t="s">
        <v>737</v>
      </c>
      <c r="S185" s="192" t="s">
        <v>230</v>
      </c>
    </row>
    <row r="186" spans="1:19" ht="18.600000000000001" customHeight="1">
      <c r="A186" s="36">
        <v>45</v>
      </c>
      <c r="B186" s="38">
        <v>44779</v>
      </c>
      <c r="C186" s="36" t="s">
        <v>493</v>
      </c>
      <c r="D186" s="36" t="s">
        <v>708</v>
      </c>
      <c r="E186" s="36" t="s">
        <v>525</v>
      </c>
      <c r="F186" s="36" t="s">
        <v>160</v>
      </c>
      <c r="G186" s="36" t="s">
        <v>576</v>
      </c>
      <c r="H186" s="36">
        <v>-34900</v>
      </c>
      <c r="I186" s="36">
        <v>-34900</v>
      </c>
      <c r="J186" s="36">
        <f t="shared" si="16"/>
        <v>0</v>
      </c>
      <c r="K186" s="37">
        <v>0.375</v>
      </c>
      <c r="L186" s="36">
        <f t="shared" si="17"/>
        <v>-13087.5</v>
      </c>
      <c r="M186" s="36">
        <f t="shared" si="15"/>
        <v>0</v>
      </c>
      <c r="N186" s="38">
        <v>44781</v>
      </c>
      <c r="O186" s="36" t="s">
        <v>220</v>
      </c>
      <c r="P186" s="36" t="s">
        <v>734</v>
      </c>
      <c r="Q186" s="191" t="b">
        <v>1</v>
      </c>
      <c r="R186" s="191" t="s">
        <v>737</v>
      </c>
      <c r="S186" s="192" t="s">
        <v>230</v>
      </c>
    </row>
    <row r="187" spans="1:19">
      <c r="A187" s="36">
        <v>46</v>
      </c>
      <c r="B187" s="38">
        <v>44780</v>
      </c>
      <c r="C187" s="36" t="s">
        <v>411</v>
      </c>
      <c r="E187" s="36" t="s">
        <v>412</v>
      </c>
      <c r="F187" s="36" t="s">
        <v>106</v>
      </c>
      <c r="G187" s="36" t="s">
        <v>123</v>
      </c>
      <c r="H187" s="36">
        <v>29800</v>
      </c>
      <c r="I187" s="36">
        <v>29800</v>
      </c>
      <c r="J187" s="36">
        <f t="shared" si="16"/>
        <v>0</v>
      </c>
      <c r="K187" s="37">
        <v>0.5</v>
      </c>
      <c r="L187" s="36">
        <f t="shared" si="17"/>
        <v>14900</v>
      </c>
      <c r="M187" s="36">
        <f t="shared" si="15"/>
        <v>0</v>
      </c>
      <c r="N187" s="38">
        <v>44781</v>
      </c>
      <c r="O187" s="36" t="s">
        <v>415</v>
      </c>
      <c r="P187" s="36" t="s">
        <v>734</v>
      </c>
      <c r="Q187" s="191" t="b">
        <v>1</v>
      </c>
      <c r="R187" s="191" t="s">
        <v>737</v>
      </c>
    </row>
    <row r="188" spans="1:19">
      <c r="A188" s="36">
        <v>47</v>
      </c>
      <c r="B188" s="38">
        <v>44780</v>
      </c>
      <c r="C188" s="36" t="s">
        <v>493</v>
      </c>
      <c r="D188" s="36" t="s">
        <v>716</v>
      </c>
      <c r="E188" s="36" t="s">
        <v>577</v>
      </c>
      <c r="F188" s="36" t="s">
        <v>106</v>
      </c>
      <c r="G188" s="36" t="s">
        <v>123</v>
      </c>
      <c r="H188" s="36">
        <v>29800</v>
      </c>
      <c r="I188" s="36">
        <v>29800</v>
      </c>
      <c r="J188" s="36">
        <f t="shared" si="16"/>
        <v>0</v>
      </c>
      <c r="K188" s="37">
        <v>0.375</v>
      </c>
      <c r="L188" s="36">
        <f t="shared" si="17"/>
        <v>11175</v>
      </c>
      <c r="M188" s="36">
        <f t="shared" si="15"/>
        <v>0</v>
      </c>
      <c r="N188" s="38">
        <v>44783</v>
      </c>
      <c r="O188" s="36" t="s">
        <v>220</v>
      </c>
      <c r="P188" s="36" t="s">
        <v>734</v>
      </c>
      <c r="Q188" s="191" t="b">
        <v>1</v>
      </c>
      <c r="R188" s="191" t="s">
        <v>737</v>
      </c>
      <c r="S188" s="192" t="s">
        <v>230</v>
      </c>
    </row>
    <row r="189" spans="1:19">
      <c r="A189" s="36">
        <v>47</v>
      </c>
      <c r="B189" s="38">
        <v>44780</v>
      </c>
      <c r="C189" s="36" t="s">
        <v>493</v>
      </c>
      <c r="D189" s="36" t="s">
        <v>716</v>
      </c>
      <c r="E189" s="36" t="s">
        <v>122</v>
      </c>
      <c r="F189" s="36" t="s">
        <v>111</v>
      </c>
      <c r="G189" s="36" t="s">
        <v>578</v>
      </c>
      <c r="H189" s="36">
        <v>9000</v>
      </c>
      <c r="I189" s="36">
        <v>9000</v>
      </c>
      <c r="J189" s="36">
        <f t="shared" si="16"/>
        <v>0</v>
      </c>
      <c r="K189" s="37">
        <v>0.375</v>
      </c>
      <c r="L189" s="36">
        <f t="shared" si="17"/>
        <v>3375</v>
      </c>
      <c r="M189" s="36">
        <f t="shared" si="15"/>
        <v>0</v>
      </c>
      <c r="N189" s="38">
        <v>44783</v>
      </c>
      <c r="O189" s="36" t="s">
        <v>220</v>
      </c>
      <c r="P189" s="36" t="s">
        <v>734</v>
      </c>
      <c r="Q189" s="191" t="b">
        <v>1</v>
      </c>
      <c r="R189" s="191" t="s">
        <v>737</v>
      </c>
      <c r="S189" s="192" t="s">
        <v>230</v>
      </c>
    </row>
    <row r="190" spans="1:19">
      <c r="A190" s="36">
        <v>47</v>
      </c>
      <c r="B190" s="38">
        <v>44780</v>
      </c>
      <c r="C190" s="36" t="s">
        <v>493</v>
      </c>
      <c r="D190" s="36" t="s">
        <v>716</v>
      </c>
      <c r="E190" s="36" t="s">
        <v>579</v>
      </c>
      <c r="F190" s="36" t="s">
        <v>106</v>
      </c>
      <c r="G190" s="36" t="s">
        <v>580</v>
      </c>
      <c r="H190" s="36">
        <v>19800</v>
      </c>
      <c r="I190" s="36">
        <v>2800</v>
      </c>
      <c r="J190" s="36">
        <f t="shared" si="16"/>
        <v>17000</v>
      </c>
      <c r="K190" s="37">
        <v>0.375</v>
      </c>
      <c r="L190" s="36">
        <f t="shared" si="17"/>
        <v>1050</v>
      </c>
      <c r="M190" s="36">
        <f t="shared" si="15"/>
        <v>6375</v>
      </c>
      <c r="N190" s="38">
        <v>44783</v>
      </c>
      <c r="O190" s="36" t="s">
        <v>220</v>
      </c>
      <c r="P190" s="36" t="s">
        <v>734</v>
      </c>
      <c r="Q190" s="191" t="b">
        <v>1</v>
      </c>
      <c r="R190" s="191" t="s">
        <v>737</v>
      </c>
      <c r="S190" s="192" t="s">
        <v>230</v>
      </c>
    </row>
    <row r="191" spans="1:19">
      <c r="A191" s="36">
        <v>48</v>
      </c>
      <c r="B191" s="38">
        <v>44782</v>
      </c>
      <c r="C191" s="36" t="s">
        <v>713</v>
      </c>
      <c r="E191" s="36" t="s">
        <v>451</v>
      </c>
      <c r="F191" s="36" t="s">
        <v>111</v>
      </c>
      <c r="G191" s="36" t="s">
        <v>582</v>
      </c>
      <c r="H191" s="36">
        <v>6900</v>
      </c>
      <c r="I191" s="36">
        <v>6900</v>
      </c>
      <c r="J191" s="36">
        <f t="shared" si="16"/>
        <v>0</v>
      </c>
      <c r="K191" s="37">
        <v>0.5</v>
      </c>
      <c r="L191" s="36">
        <f t="shared" si="17"/>
        <v>3450</v>
      </c>
      <c r="M191" s="36">
        <f t="shared" si="15"/>
        <v>0</v>
      </c>
      <c r="N191" s="38">
        <v>44782</v>
      </c>
      <c r="O191" s="36" t="s">
        <v>113</v>
      </c>
      <c r="P191" s="36" t="s">
        <v>734</v>
      </c>
      <c r="Q191" s="191" t="b">
        <v>1</v>
      </c>
      <c r="R191" s="191" t="s">
        <v>737</v>
      </c>
      <c r="S191" s="192" t="s">
        <v>230</v>
      </c>
    </row>
    <row r="192" spans="1:19">
      <c r="A192" s="36">
        <v>49</v>
      </c>
      <c r="B192" s="38">
        <v>44786</v>
      </c>
      <c r="C192" s="36" t="s">
        <v>387</v>
      </c>
      <c r="E192" s="36" t="s">
        <v>592</v>
      </c>
      <c r="F192" s="36" t="s">
        <v>106</v>
      </c>
      <c r="G192" s="36" t="s">
        <v>593</v>
      </c>
      <c r="H192" s="36">
        <v>6880</v>
      </c>
      <c r="I192" s="36">
        <v>6880</v>
      </c>
      <c r="J192" s="36">
        <f t="shared" si="16"/>
        <v>0</v>
      </c>
      <c r="K192" s="37">
        <v>0.4</v>
      </c>
      <c r="L192" s="36">
        <f t="shared" si="17"/>
        <v>2752</v>
      </c>
      <c r="M192" s="36">
        <f t="shared" si="15"/>
        <v>0</v>
      </c>
      <c r="N192" s="38">
        <v>44804</v>
      </c>
      <c r="O192" s="36" t="s">
        <v>482</v>
      </c>
      <c r="P192" s="36" t="s">
        <v>734</v>
      </c>
      <c r="Q192" s="191" t="b">
        <v>1</v>
      </c>
      <c r="R192" s="191" t="s">
        <v>737</v>
      </c>
      <c r="S192" s="36" t="s">
        <v>230</v>
      </c>
    </row>
    <row r="193" spans="1:19">
      <c r="A193" s="36">
        <v>49</v>
      </c>
      <c r="B193" s="38">
        <v>44786</v>
      </c>
      <c r="C193" s="36" t="s">
        <v>387</v>
      </c>
      <c r="E193" s="36" t="s">
        <v>592</v>
      </c>
      <c r="F193" s="36" t="s">
        <v>111</v>
      </c>
      <c r="G193" s="36" t="s">
        <v>594</v>
      </c>
      <c r="H193" s="36">
        <v>1980</v>
      </c>
      <c r="I193" s="36">
        <v>1980</v>
      </c>
      <c r="J193" s="36">
        <f t="shared" si="16"/>
        <v>0</v>
      </c>
      <c r="K193" s="37">
        <v>0.4</v>
      </c>
      <c r="L193" s="36">
        <f t="shared" si="17"/>
        <v>792</v>
      </c>
      <c r="M193" s="36">
        <f t="shared" si="15"/>
        <v>0</v>
      </c>
      <c r="N193" s="38">
        <v>44804</v>
      </c>
      <c r="O193" s="36" t="s">
        <v>482</v>
      </c>
      <c r="P193" s="36" t="s">
        <v>734</v>
      </c>
      <c r="Q193" s="191" t="b">
        <v>1</v>
      </c>
      <c r="R193" s="191" t="s">
        <v>737</v>
      </c>
      <c r="S193" s="36" t="s">
        <v>230</v>
      </c>
    </row>
    <row r="194" spans="1:19">
      <c r="A194" s="36">
        <v>49</v>
      </c>
      <c r="B194" s="38">
        <v>44786</v>
      </c>
      <c r="C194" s="36" t="s">
        <v>387</v>
      </c>
      <c r="E194" s="36" t="s">
        <v>592</v>
      </c>
      <c r="F194" s="36" t="s">
        <v>185</v>
      </c>
      <c r="G194" s="36" t="s">
        <v>595</v>
      </c>
      <c r="H194" s="36">
        <v>3000</v>
      </c>
      <c r="I194" s="36">
        <v>3000</v>
      </c>
      <c r="J194" s="36">
        <f t="shared" si="16"/>
        <v>0</v>
      </c>
      <c r="K194" s="37">
        <v>0.4</v>
      </c>
      <c r="L194" s="36">
        <f t="shared" si="17"/>
        <v>1200</v>
      </c>
      <c r="M194" s="36">
        <f t="shared" si="15"/>
        <v>0</v>
      </c>
      <c r="N194" s="38">
        <v>44804</v>
      </c>
      <c r="O194" s="36" t="s">
        <v>482</v>
      </c>
      <c r="P194" s="36" t="s">
        <v>734</v>
      </c>
      <c r="Q194" s="191" t="b">
        <v>1</v>
      </c>
      <c r="R194" s="191" t="s">
        <v>737</v>
      </c>
      <c r="S194" s="36" t="s">
        <v>230</v>
      </c>
    </row>
    <row r="195" spans="1:19">
      <c r="A195" s="36">
        <v>49</v>
      </c>
      <c r="B195" s="38">
        <v>44786</v>
      </c>
      <c r="C195" s="36" t="s">
        <v>387</v>
      </c>
      <c r="E195" s="36" t="s">
        <v>596</v>
      </c>
      <c r="F195" s="36" t="s">
        <v>106</v>
      </c>
      <c r="G195" s="36" t="s">
        <v>404</v>
      </c>
      <c r="H195" s="36">
        <v>3980</v>
      </c>
      <c r="I195" s="36">
        <v>3980</v>
      </c>
      <c r="J195" s="36">
        <f t="shared" si="16"/>
        <v>0</v>
      </c>
      <c r="K195" s="37">
        <v>0.4</v>
      </c>
      <c r="L195" s="36">
        <f t="shared" si="17"/>
        <v>1592</v>
      </c>
      <c r="M195" s="36">
        <f t="shared" si="15"/>
        <v>0</v>
      </c>
      <c r="N195" s="38">
        <v>44804</v>
      </c>
      <c r="O195" s="36" t="s">
        <v>482</v>
      </c>
      <c r="P195" s="36" t="s">
        <v>734</v>
      </c>
      <c r="Q195" s="191" t="b">
        <v>1</v>
      </c>
      <c r="R195" s="191" t="s">
        <v>737</v>
      </c>
      <c r="S195" s="36" t="s">
        <v>230</v>
      </c>
    </row>
    <row r="196" spans="1:19">
      <c r="A196" s="36">
        <v>49</v>
      </c>
      <c r="B196" s="38">
        <v>44787</v>
      </c>
      <c r="C196" s="36" t="s">
        <v>387</v>
      </c>
      <c r="E196" s="36" t="s">
        <v>597</v>
      </c>
      <c r="F196" s="36" t="s">
        <v>106</v>
      </c>
      <c r="G196" s="36" t="s">
        <v>404</v>
      </c>
      <c r="H196" s="36">
        <v>3980</v>
      </c>
      <c r="I196" s="36">
        <v>3980</v>
      </c>
      <c r="J196" s="36">
        <f t="shared" si="16"/>
        <v>0</v>
      </c>
      <c r="K196" s="37">
        <v>0.4</v>
      </c>
      <c r="L196" s="36">
        <f t="shared" si="17"/>
        <v>1592</v>
      </c>
      <c r="M196" s="36">
        <f t="shared" si="15"/>
        <v>0</v>
      </c>
      <c r="N196" s="38">
        <v>44804</v>
      </c>
      <c r="O196" s="36" t="s">
        <v>482</v>
      </c>
      <c r="P196" s="36" t="s">
        <v>734</v>
      </c>
      <c r="Q196" s="191" t="b">
        <v>1</v>
      </c>
      <c r="R196" s="191" t="s">
        <v>737</v>
      </c>
      <c r="S196" s="36" t="s">
        <v>230</v>
      </c>
    </row>
    <row r="197" spans="1:19">
      <c r="A197" s="36">
        <v>49</v>
      </c>
      <c r="B197" s="38">
        <v>44787</v>
      </c>
      <c r="C197" s="36" t="s">
        <v>387</v>
      </c>
      <c r="E197" s="36" t="s">
        <v>397</v>
      </c>
      <c r="F197" s="36" t="s">
        <v>111</v>
      </c>
      <c r="G197" s="36" t="s">
        <v>598</v>
      </c>
      <c r="H197" s="36">
        <v>13800</v>
      </c>
      <c r="I197" s="36">
        <v>13800</v>
      </c>
      <c r="J197" s="36">
        <f t="shared" si="16"/>
        <v>0</v>
      </c>
      <c r="K197" s="37">
        <v>0.4</v>
      </c>
      <c r="L197" s="36">
        <f t="shared" si="17"/>
        <v>5520</v>
      </c>
      <c r="M197" s="36">
        <f t="shared" si="15"/>
        <v>0</v>
      </c>
      <c r="N197" s="38">
        <v>44804</v>
      </c>
      <c r="O197" s="36" t="s">
        <v>482</v>
      </c>
      <c r="P197" s="36" t="s">
        <v>734</v>
      </c>
      <c r="Q197" s="191" t="b">
        <v>1</v>
      </c>
      <c r="R197" s="191" t="s">
        <v>737</v>
      </c>
      <c r="S197" s="36" t="s">
        <v>230</v>
      </c>
    </row>
    <row r="198" spans="1:19">
      <c r="A198" s="36">
        <v>49</v>
      </c>
      <c r="B198" s="38">
        <v>44787</v>
      </c>
      <c r="C198" s="36" t="s">
        <v>387</v>
      </c>
      <c r="E198" s="36" t="s">
        <v>599</v>
      </c>
      <c r="F198" s="36" t="s">
        <v>106</v>
      </c>
      <c r="G198" s="36" t="s">
        <v>600</v>
      </c>
      <c r="H198" s="36">
        <v>14900</v>
      </c>
      <c r="I198" s="36">
        <v>14900</v>
      </c>
      <c r="J198" s="36">
        <f t="shared" si="16"/>
        <v>0</v>
      </c>
      <c r="K198" s="37">
        <v>0.4</v>
      </c>
      <c r="L198" s="36">
        <f t="shared" si="17"/>
        <v>5960</v>
      </c>
      <c r="M198" s="36">
        <f t="shared" si="15"/>
        <v>0</v>
      </c>
      <c r="N198" s="38">
        <v>44804</v>
      </c>
      <c r="O198" s="36" t="s">
        <v>482</v>
      </c>
      <c r="P198" s="36" t="s">
        <v>734</v>
      </c>
      <c r="Q198" s="191" t="b">
        <v>1</v>
      </c>
      <c r="R198" s="191" t="s">
        <v>737</v>
      </c>
      <c r="S198" s="36" t="s">
        <v>230</v>
      </c>
    </row>
    <row r="199" spans="1:19">
      <c r="A199" s="36">
        <v>49</v>
      </c>
      <c r="B199" s="38">
        <v>44787</v>
      </c>
      <c r="C199" s="36" t="s">
        <v>387</v>
      </c>
      <c r="E199" s="36" t="s">
        <v>504</v>
      </c>
      <c r="F199" s="36" t="s">
        <v>111</v>
      </c>
      <c r="G199" s="36" t="s">
        <v>601</v>
      </c>
      <c r="H199" s="36">
        <v>44400</v>
      </c>
      <c r="I199" s="36">
        <v>44400</v>
      </c>
      <c r="J199" s="36">
        <f t="shared" si="16"/>
        <v>0</v>
      </c>
      <c r="K199" s="37">
        <v>0.4</v>
      </c>
      <c r="L199" s="36">
        <f t="shared" si="17"/>
        <v>17760</v>
      </c>
      <c r="M199" s="36">
        <f t="shared" si="15"/>
        <v>0</v>
      </c>
      <c r="N199" s="38">
        <v>44804</v>
      </c>
      <c r="O199" s="36" t="s">
        <v>482</v>
      </c>
      <c r="P199" s="36" t="s">
        <v>734</v>
      </c>
      <c r="Q199" s="191" t="b">
        <v>1</v>
      </c>
      <c r="R199" s="191" t="s">
        <v>737</v>
      </c>
      <c r="S199" s="36" t="s">
        <v>230</v>
      </c>
    </row>
    <row r="200" spans="1:19">
      <c r="A200" s="36">
        <v>49</v>
      </c>
      <c r="B200" s="38">
        <v>44788</v>
      </c>
      <c r="C200" s="36" t="s">
        <v>387</v>
      </c>
      <c r="E200" s="36" t="s">
        <v>602</v>
      </c>
      <c r="F200" s="36" t="s">
        <v>603</v>
      </c>
      <c r="G200" s="36" t="s">
        <v>604</v>
      </c>
      <c r="H200" s="36">
        <v>75600</v>
      </c>
      <c r="I200" s="36">
        <v>75600</v>
      </c>
      <c r="J200" s="36">
        <f t="shared" si="16"/>
        <v>0</v>
      </c>
      <c r="K200" s="37">
        <v>0.4</v>
      </c>
      <c r="L200" s="36">
        <f t="shared" si="17"/>
        <v>30240</v>
      </c>
      <c r="M200" s="36">
        <f t="shared" si="15"/>
        <v>0</v>
      </c>
      <c r="N200" s="38">
        <v>44804</v>
      </c>
      <c r="O200" s="36" t="s">
        <v>482</v>
      </c>
      <c r="P200" s="36" t="s">
        <v>734</v>
      </c>
      <c r="Q200" s="191" t="b">
        <v>1</v>
      </c>
      <c r="R200" s="191" t="s">
        <v>737</v>
      </c>
      <c r="S200" s="36" t="s">
        <v>230</v>
      </c>
    </row>
    <row r="201" spans="1:19">
      <c r="A201" s="36">
        <v>49</v>
      </c>
      <c r="B201" s="38">
        <v>44788</v>
      </c>
      <c r="C201" s="36" t="s">
        <v>387</v>
      </c>
      <c r="E201" s="36" t="s">
        <v>399</v>
      </c>
      <c r="F201" s="36" t="s">
        <v>603</v>
      </c>
      <c r="G201" s="36" t="s">
        <v>605</v>
      </c>
      <c r="H201" s="36">
        <v>14880</v>
      </c>
      <c r="I201" s="36">
        <v>14880</v>
      </c>
      <c r="J201" s="36">
        <f t="shared" ref="J201:J232" si="18">H201-I201</f>
        <v>0</v>
      </c>
      <c r="K201" s="37">
        <v>0.4</v>
      </c>
      <c r="L201" s="36">
        <f t="shared" si="17"/>
        <v>5952</v>
      </c>
      <c r="M201" s="36">
        <f t="shared" si="15"/>
        <v>0</v>
      </c>
      <c r="N201" s="38">
        <v>44804</v>
      </c>
      <c r="O201" s="36" t="s">
        <v>482</v>
      </c>
      <c r="P201" s="36" t="s">
        <v>734</v>
      </c>
      <c r="Q201" s="191" t="b">
        <v>1</v>
      </c>
      <c r="R201" s="191" t="s">
        <v>737</v>
      </c>
      <c r="S201" s="36" t="s">
        <v>230</v>
      </c>
    </row>
    <row r="202" spans="1:19">
      <c r="A202" s="36">
        <v>49</v>
      </c>
      <c r="B202" s="38">
        <v>44788</v>
      </c>
      <c r="C202" s="36" t="s">
        <v>387</v>
      </c>
      <c r="E202" s="36" t="s">
        <v>425</v>
      </c>
      <c r="F202" s="36" t="s">
        <v>106</v>
      </c>
      <c r="G202" s="36" t="s">
        <v>606</v>
      </c>
      <c r="H202" s="36">
        <v>7360</v>
      </c>
      <c r="I202" s="36">
        <v>7360</v>
      </c>
      <c r="J202" s="36">
        <f t="shared" si="18"/>
        <v>0</v>
      </c>
      <c r="K202" s="37">
        <v>0.4</v>
      </c>
      <c r="L202" s="36">
        <f t="shared" si="17"/>
        <v>2944</v>
      </c>
      <c r="M202" s="36">
        <f t="shared" si="15"/>
        <v>0</v>
      </c>
      <c r="N202" s="38">
        <v>44804</v>
      </c>
      <c r="O202" s="36" t="s">
        <v>482</v>
      </c>
      <c r="P202" s="36" t="s">
        <v>734</v>
      </c>
      <c r="Q202" s="191" t="b">
        <v>1</v>
      </c>
      <c r="R202" s="191" t="s">
        <v>737</v>
      </c>
      <c r="S202" s="36" t="s">
        <v>230</v>
      </c>
    </row>
    <row r="203" spans="1:19">
      <c r="A203" s="36">
        <v>49</v>
      </c>
      <c r="B203" s="38">
        <v>44790</v>
      </c>
      <c r="C203" s="36" t="s">
        <v>387</v>
      </c>
      <c r="E203" s="36" t="s">
        <v>479</v>
      </c>
      <c r="F203" s="36" t="s">
        <v>185</v>
      </c>
      <c r="G203" s="36" t="s">
        <v>607</v>
      </c>
      <c r="H203" s="36">
        <v>5000</v>
      </c>
      <c r="I203" s="36">
        <v>5000</v>
      </c>
      <c r="J203" s="36">
        <f t="shared" si="18"/>
        <v>0</v>
      </c>
      <c r="K203" s="37">
        <v>0.4</v>
      </c>
      <c r="L203" s="36">
        <f t="shared" si="17"/>
        <v>2000</v>
      </c>
      <c r="M203" s="36">
        <f t="shared" si="15"/>
        <v>0</v>
      </c>
      <c r="N203" s="38">
        <v>44804</v>
      </c>
      <c r="O203" s="36" t="s">
        <v>482</v>
      </c>
      <c r="P203" s="36" t="s">
        <v>734</v>
      </c>
      <c r="Q203" s="191" t="b">
        <v>1</v>
      </c>
      <c r="R203" s="191" t="s">
        <v>737</v>
      </c>
      <c r="S203" s="36" t="s">
        <v>230</v>
      </c>
    </row>
    <row r="204" spans="1:19">
      <c r="A204" s="36">
        <v>49</v>
      </c>
      <c r="B204" s="38">
        <v>44790</v>
      </c>
      <c r="C204" s="36" t="s">
        <v>387</v>
      </c>
      <c r="E204" s="36" t="s">
        <v>608</v>
      </c>
      <c r="F204" s="36" t="s">
        <v>106</v>
      </c>
      <c r="G204" s="36" t="s">
        <v>404</v>
      </c>
      <c r="H204" s="36">
        <v>4980</v>
      </c>
      <c r="I204" s="36">
        <v>4980</v>
      </c>
      <c r="J204" s="36">
        <f t="shared" si="18"/>
        <v>0</v>
      </c>
      <c r="K204" s="37">
        <v>0.4</v>
      </c>
      <c r="L204" s="36">
        <f t="shared" si="17"/>
        <v>1992</v>
      </c>
      <c r="M204" s="36">
        <f t="shared" si="15"/>
        <v>0</v>
      </c>
      <c r="N204" s="38">
        <v>44804</v>
      </c>
      <c r="O204" s="36" t="s">
        <v>482</v>
      </c>
      <c r="P204" s="36" t="s">
        <v>734</v>
      </c>
      <c r="Q204" s="191" t="b">
        <v>1</v>
      </c>
      <c r="R204" s="191" t="s">
        <v>737</v>
      </c>
      <c r="S204" s="36" t="s">
        <v>230</v>
      </c>
    </row>
    <row r="205" spans="1:19">
      <c r="A205" s="36">
        <v>49</v>
      </c>
      <c r="B205" s="38">
        <v>44791</v>
      </c>
      <c r="C205" s="36" t="s">
        <v>387</v>
      </c>
      <c r="E205" s="36" t="s">
        <v>501</v>
      </c>
      <c r="F205" s="36" t="s">
        <v>185</v>
      </c>
      <c r="G205" s="36" t="s">
        <v>609</v>
      </c>
      <c r="H205" s="36">
        <v>6900</v>
      </c>
      <c r="I205" s="36">
        <v>6900</v>
      </c>
      <c r="J205" s="36">
        <f t="shared" si="18"/>
        <v>0</v>
      </c>
      <c r="K205" s="37">
        <v>0.4</v>
      </c>
      <c r="L205" s="36">
        <f t="shared" ref="L205:L236" si="19">I205*K205</f>
        <v>2760</v>
      </c>
      <c r="M205" s="36">
        <f t="shared" si="15"/>
        <v>0</v>
      </c>
      <c r="N205" s="38">
        <v>44804</v>
      </c>
      <c r="O205" s="36" t="s">
        <v>482</v>
      </c>
      <c r="P205" s="36" t="s">
        <v>734</v>
      </c>
      <c r="Q205" s="191" t="b">
        <v>1</v>
      </c>
      <c r="R205" s="191" t="s">
        <v>737</v>
      </c>
      <c r="S205" s="36" t="s">
        <v>230</v>
      </c>
    </row>
    <row r="206" spans="1:19">
      <c r="A206" s="36">
        <v>49</v>
      </c>
      <c r="B206" s="38">
        <v>44791</v>
      </c>
      <c r="C206" s="36" t="s">
        <v>387</v>
      </c>
      <c r="E206" s="36" t="s">
        <v>610</v>
      </c>
      <c r="F206" s="36" t="s">
        <v>106</v>
      </c>
      <c r="G206" s="36" t="s">
        <v>404</v>
      </c>
      <c r="H206" s="36">
        <v>3000</v>
      </c>
      <c r="I206" s="36">
        <v>3000</v>
      </c>
      <c r="J206" s="36">
        <f t="shared" si="18"/>
        <v>0</v>
      </c>
      <c r="K206" s="37">
        <v>0.4</v>
      </c>
      <c r="L206" s="36">
        <f t="shared" si="19"/>
        <v>1200</v>
      </c>
      <c r="M206" s="36">
        <f t="shared" si="15"/>
        <v>0</v>
      </c>
      <c r="N206" s="38">
        <v>44804</v>
      </c>
      <c r="O206" s="36" t="s">
        <v>482</v>
      </c>
      <c r="P206" s="36" t="s">
        <v>734</v>
      </c>
      <c r="Q206" s="191" t="b">
        <v>1</v>
      </c>
      <c r="R206" s="191" t="s">
        <v>737</v>
      </c>
      <c r="S206" s="36" t="s">
        <v>230</v>
      </c>
    </row>
    <row r="207" spans="1:19">
      <c r="A207" s="36">
        <v>49</v>
      </c>
      <c r="B207" s="38">
        <v>44791</v>
      </c>
      <c r="C207" s="36" t="s">
        <v>387</v>
      </c>
      <c r="E207" s="36" t="s">
        <v>611</v>
      </c>
      <c r="F207" s="36" t="s">
        <v>106</v>
      </c>
      <c r="G207" s="36" t="s">
        <v>580</v>
      </c>
      <c r="H207" s="36">
        <v>29800</v>
      </c>
      <c r="I207" s="36">
        <v>29800</v>
      </c>
      <c r="J207" s="36">
        <f t="shared" si="18"/>
        <v>0</v>
      </c>
      <c r="K207" s="37">
        <v>0.4</v>
      </c>
      <c r="L207" s="36">
        <f t="shared" si="19"/>
        <v>11920</v>
      </c>
      <c r="M207" s="36">
        <f t="shared" si="15"/>
        <v>0</v>
      </c>
      <c r="N207" s="38">
        <v>44804</v>
      </c>
      <c r="O207" s="36" t="s">
        <v>482</v>
      </c>
      <c r="P207" s="36" t="s">
        <v>734</v>
      </c>
      <c r="Q207" s="191" t="b">
        <v>1</v>
      </c>
      <c r="R207" s="191" t="s">
        <v>737</v>
      </c>
      <c r="S207" s="36" t="s">
        <v>230</v>
      </c>
    </row>
    <row r="208" spans="1:19">
      <c r="A208" s="36">
        <v>49</v>
      </c>
      <c r="B208" s="38">
        <v>44792</v>
      </c>
      <c r="C208" s="36" t="s">
        <v>387</v>
      </c>
      <c r="E208" s="36" t="s">
        <v>461</v>
      </c>
      <c r="F208" s="36" t="s">
        <v>106</v>
      </c>
      <c r="G208" s="36" t="s">
        <v>123</v>
      </c>
      <c r="H208" s="36">
        <v>22080</v>
      </c>
      <c r="I208" s="36">
        <v>22080</v>
      </c>
      <c r="J208" s="36">
        <f t="shared" si="18"/>
        <v>0</v>
      </c>
      <c r="K208" s="37">
        <v>0.4</v>
      </c>
      <c r="L208" s="36">
        <f t="shared" si="19"/>
        <v>8832</v>
      </c>
      <c r="M208" s="36">
        <f t="shared" si="15"/>
        <v>0</v>
      </c>
      <c r="N208" s="38">
        <v>44804</v>
      </c>
      <c r="O208" s="36" t="s">
        <v>482</v>
      </c>
      <c r="P208" s="36" t="s">
        <v>734</v>
      </c>
      <c r="Q208" s="191" t="b">
        <v>1</v>
      </c>
      <c r="R208" s="191" t="s">
        <v>737</v>
      </c>
      <c r="S208" s="36" t="s">
        <v>230</v>
      </c>
    </row>
    <row r="209" spans="1:19">
      <c r="A209" s="36">
        <v>49</v>
      </c>
      <c r="B209" s="38">
        <v>44794</v>
      </c>
      <c r="C209" s="36" t="s">
        <v>387</v>
      </c>
      <c r="E209" s="36" t="s">
        <v>612</v>
      </c>
      <c r="F209" s="36" t="s">
        <v>106</v>
      </c>
      <c r="G209" s="36" t="s">
        <v>613</v>
      </c>
      <c r="H209" s="36">
        <v>69800</v>
      </c>
      <c r="I209" s="36">
        <v>69800</v>
      </c>
      <c r="J209" s="36">
        <f t="shared" si="18"/>
        <v>0</v>
      </c>
      <c r="K209" s="37">
        <v>0.4</v>
      </c>
      <c r="L209" s="36">
        <f t="shared" si="19"/>
        <v>27920</v>
      </c>
      <c r="M209" s="36">
        <f t="shared" si="15"/>
        <v>0</v>
      </c>
      <c r="N209" s="38">
        <v>44804</v>
      </c>
      <c r="O209" s="36" t="s">
        <v>482</v>
      </c>
      <c r="P209" s="36" t="s">
        <v>734</v>
      </c>
      <c r="Q209" s="191" t="b">
        <v>1</v>
      </c>
      <c r="R209" s="191" t="s">
        <v>737</v>
      </c>
      <c r="S209" s="36" t="s">
        <v>230</v>
      </c>
    </row>
    <row r="210" spans="1:19">
      <c r="A210" s="36">
        <v>49</v>
      </c>
      <c r="B210" s="38">
        <v>44794</v>
      </c>
      <c r="C210" s="36" t="s">
        <v>387</v>
      </c>
      <c r="E210" s="36" t="s">
        <v>612</v>
      </c>
      <c r="F210" s="36" t="s">
        <v>111</v>
      </c>
      <c r="G210" s="36" t="s">
        <v>614</v>
      </c>
      <c r="H210" s="36">
        <v>3980</v>
      </c>
      <c r="I210" s="36">
        <v>3980</v>
      </c>
      <c r="J210" s="36">
        <f t="shared" si="18"/>
        <v>0</v>
      </c>
      <c r="K210" s="37">
        <v>0.4</v>
      </c>
      <c r="L210" s="36">
        <f t="shared" si="19"/>
        <v>1592</v>
      </c>
      <c r="M210" s="36">
        <f t="shared" si="15"/>
        <v>0</v>
      </c>
      <c r="N210" s="38">
        <v>44804</v>
      </c>
      <c r="O210" s="36" t="s">
        <v>482</v>
      </c>
      <c r="P210" s="36" t="s">
        <v>734</v>
      </c>
      <c r="Q210" s="191" t="b">
        <v>1</v>
      </c>
      <c r="R210" s="191" t="s">
        <v>737</v>
      </c>
      <c r="S210" s="36" t="s">
        <v>230</v>
      </c>
    </row>
    <row r="211" spans="1:19">
      <c r="A211" s="36">
        <v>49</v>
      </c>
      <c r="B211" s="38">
        <v>44794</v>
      </c>
      <c r="C211" s="36" t="s">
        <v>387</v>
      </c>
      <c r="E211" s="36" t="s">
        <v>473</v>
      </c>
      <c r="F211" s="36" t="s">
        <v>106</v>
      </c>
      <c r="G211" s="36" t="s">
        <v>123</v>
      </c>
      <c r="H211" s="36">
        <v>18000</v>
      </c>
      <c r="I211" s="36">
        <v>1000</v>
      </c>
      <c r="J211" s="36">
        <f t="shared" si="18"/>
        <v>17000</v>
      </c>
      <c r="K211" s="37">
        <v>0.4</v>
      </c>
      <c r="L211" s="36">
        <f t="shared" si="19"/>
        <v>400</v>
      </c>
      <c r="M211" s="36">
        <f t="shared" si="15"/>
        <v>6800</v>
      </c>
      <c r="N211" s="38">
        <v>44804</v>
      </c>
      <c r="O211" s="36" t="s">
        <v>482</v>
      </c>
      <c r="P211" s="36" t="s">
        <v>734</v>
      </c>
      <c r="Q211" s="191" t="b">
        <v>1</v>
      </c>
      <c r="R211" s="191" t="s">
        <v>737</v>
      </c>
      <c r="S211" s="36" t="s">
        <v>230</v>
      </c>
    </row>
    <row r="212" spans="1:19">
      <c r="A212" s="36">
        <v>49</v>
      </c>
      <c r="B212" s="38">
        <v>44795</v>
      </c>
      <c r="C212" s="36" t="s">
        <v>387</v>
      </c>
      <c r="E212" s="36" t="s">
        <v>616</v>
      </c>
      <c r="F212" s="36" t="s">
        <v>106</v>
      </c>
      <c r="G212" s="36" t="s">
        <v>123</v>
      </c>
      <c r="H212" s="36">
        <v>39800</v>
      </c>
      <c r="I212" s="36">
        <v>39000</v>
      </c>
      <c r="J212" s="36">
        <f t="shared" si="18"/>
        <v>800</v>
      </c>
      <c r="K212" s="37">
        <v>0.4</v>
      </c>
      <c r="L212" s="36">
        <f t="shared" si="19"/>
        <v>15600</v>
      </c>
      <c r="M212" s="36">
        <f t="shared" si="15"/>
        <v>320</v>
      </c>
      <c r="N212" s="38">
        <v>44804</v>
      </c>
      <c r="O212" s="36" t="s">
        <v>482</v>
      </c>
      <c r="P212" s="36" t="s">
        <v>734</v>
      </c>
      <c r="Q212" s="191" t="b">
        <v>1</v>
      </c>
      <c r="R212" s="191" t="s">
        <v>737</v>
      </c>
      <c r="S212" s="36" t="s">
        <v>230</v>
      </c>
    </row>
    <row r="213" spans="1:19">
      <c r="A213" s="36">
        <v>49</v>
      </c>
      <c r="B213" s="38">
        <v>44796</v>
      </c>
      <c r="C213" s="36" t="s">
        <v>387</v>
      </c>
      <c r="E213" s="36" t="s">
        <v>431</v>
      </c>
      <c r="F213" s="36" t="s">
        <v>106</v>
      </c>
      <c r="G213" s="36" t="s">
        <v>228</v>
      </c>
      <c r="H213" s="36">
        <v>15920</v>
      </c>
      <c r="I213" s="36">
        <v>15920</v>
      </c>
      <c r="J213" s="36">
        <f t="shared" si="18"/>
        <v>0</v>
      </c>
      <c r="K213" s="37">
        <v>0.4</v>
      </c>
      <c r="L213" s="36">
        <f t="shared" si="19"/>
        <v>6368</v>
      </c>
      <c r="M213" s="36">
        <f t="shared" si="15"/>
        <v>0</v>
      </c>
      <c r="N213" s="38">
        <v>44804</v>
      </c>
      <c r="O213" s="36" t="s">
        <v>482</v>
      </c>
      <c r="P213" s="36" t="s">
        <v>734</v>
      </c>
      <c r="Q213" s="191" t="b">
        <v>1</v>
      </c>
      <c r="R213" s="191" t="s">
        <v>737</v>
      </c>
      <c r="S213" s="36" t="s">
        <v>230</v>
      </c>
    </row>
    <row r="214" spans="1:19">
      <c r="A214" s="36">
        <v>49</v>
      </c>
      <c r="B214" s="38">
        <v>44797</v>
      </c>
      <c r="C214" s="36" t="s">
        <v>387</v>
      </c>
      <c r="E214" s="36" t="s">
        <v>426</v>
      </c>
      <c r="F214" s="36" t="s">
        <v>106</v>
      </c>
      <c r="G214" s="36" t="s">
        <v>600</v>
      </c>
      <c r="H214" s="36">
        <v>19900</v>
      </c>
      <c r="I214" s="36">
        <v>8000</v>
      </c>
      <c r="J214" s="36">
        <f t="shared" si="18"/>
        <v>11900</v>
      </c>
      <c r="K214" s="37">
        <v>0.4</v>
      </c>
      <c r="L214" s="36">
        <f t="shared" si="19"/>
        <v>3200</v>
      </c>
      <c r="M214" s="36">
        <f t="shared" si="15"/>
        <v>4760</v>
      </c>
      <c r="N214" s="38">
        <v>44804</v>
      </c>
      <c r="O214" s="36" t="s">
        <v>482</v>
      </c>
      <c r="P214" s="36" t="s">
        <v>734</v>
      </c>
      <c r="Q214" s="191" t="b">
        <v>1</v>
      </c>
      <c r="R214" s="191" t="s">
        <v>737</v>
      </c>
    </row>
    <row r="215" spans="1:19">
      <c r="A215" s="36">
        <v>50</v>
      </c>
      <c r="B215" s="38">
        <v>44792</v>
      </c>
      <c r="C215" s="36" t="s">
        <v>731</v>
      </c>
      <c r="E215" s="36" t="s">
        <v>114</v>
      </c>
      <c r="F215" s="36" t="s">
        <v>106</v>
      </c>
      <c r="G215" s="36" t="s">
        <v>404</v>
      </c>
      <c r="H215" s="36">
        <v>2500</v>
      </c>
      <c r="I215" s="36">
        <v>2500</v>
      </c>
      <c r="J215" s="36">
        <f t="shared" si="18"/>
        <v>0</v>
      </c>
      <c r="K215" s="37">
        <v>0.5</v>
      </c>
      <c r="L215" s="36">
        <f t="shared" si="19"/>
        <v>1250</v>
      </c>
      <c r="M215" s="36">
        <f t="shared" ref="M215:M278" si="20">J215*K215</f>
        <v>0</v>
      </c>
      <c r="N215" s="38">
        <v>44795</v>
      </c>
      <c r="O215" s="36" t="s">
        <v>585</v>
      </c>
      <c r="P215" s="36" t="s">
        <v>231</v>
      </c>
      <c r="S215" s="36" t="s">
        <v>615</v>
      </c>
    </row>
    <row r="216" spans="1:19">
      <c r="A216" s="36">
        <v>51</v>
      </c>
      <c r="B216" s="38">
        <v>44792</v>
      </c>
      <c r="C216" s="36" t="s">
        <v>714</v>
      </c>
      <c r="D216" s="36" t="s">
        <v>708</v>
      </c>
      <c r="E216" s="36" t="s">
        <v>562</v>
      </c>
      <c r="F216" s="36" t="s">
        <v>106</v>
      </c>
      <c r="G216" s="36" t="s">
        <v>583</v>
      </c>
      <c r="H216" s="36">
        <v>59800</v>
      </c>
      <c r="I216" s="36">
        <v>59800</v>
      </c>
      <c r="J216" s="36">
        <f t="shared" si="18"/>
        <v>0</v>
      </c>
      <c r="K216" s="37">
        <v>0.4</v>
      </c>
      <c r="L216" s="36">
        <f t="shared" si="19"/>
        <v>23920</v>
      </c>
      <c r="M216" s="36">
        <f t="shared" si="20"/>
        <v>0</v>
      </c>
      <c r="N216" s="38">
        <v>44793</v>
      </c>
      <c r="O216" s="36" t="s">
        <v>585</v>
      </c>
      <c r="P216" s="36" t="s">
        <v>231</v>
      </c>
      <c r="S216" s="36" t="s">
        <v>586</v>
      </c>
    </row>
    <row r="217" spans="1:19">
      <c r="A217" s="36">
        <v>51</v>
      </c>
      <c r="B217" s="38">
        <v>44792</v>
      </c>
      <c r="C217" s="36" t="s">
        <v>714</v>
      </c>
      <c r="D217" s="36" t="s">
        <v>708</v>
      </c>
      <c r="E217" s="36" t="s">
        <v>562</v>
      </c>
      <c r="F217" s="36" t="s">
        <v>111</v>
      </c>
      <c r="G217" s="36" t="s">
        <v>584</v>
      </c>
      <c r="H217" s="36">
        <v>3980</v>
      </c>
      <c r="I217" s="36">
        <v>3980</v>
      </c>
      <c r="J217" s="36">
        <f t="shared" si="18"/>
        <v>0</v>
      </c>
      <c r="K217" s="37">
        <v>0.4</v>
      </c>
      <c r="L217" s="36">
        <f t="shared" si="19"/>
        <v>1592</v>
      </c>
      <c r="M217" s="36">
        <f t="shared" si="20"/>
        <v>0</v>
      </c>
      <c r="N217" s="38">
        <v>44793</v>
      </c>
      <c r="O217" s="36" t="s">
        <v>585</v>
      </c>
      <c r="P217" s="36" t="s">
        <v>231</v>
      </c>
      <c r="S217" s="36" t="s">
        <v>586</v>
      </c>
    </row>
    <row r="218" spans="1:19">
      <c r="A218" s="36">
        <v>52</v>
      </c>
      <c r="B218" s="38">
        <v>44793</v>
      </c>
      <c r="C218" s="36" t="s">
        <v>493</v>
      </c>
      <c r="D218" s="36" t="s">
        <v>709</v>
      </c>
      <c r="E218" s="36" t="s">
        <v>416</v>
      </c>
      <c r="F218" s="36" t="s">
        <v>324</v>
      </c>
      <c r="G218" s="36" t="s">
        <v>587</v>
      </c>
      <c r="H218" s="36">
        <v>13180</v>
      </c>
      <c r="I218" s="36">
        <v>13180</v>
      </c>
      <c r="J218" s="36">
        <f t="shared" si="18"/>
        <v>0</v>
      </c>
      <c r="K218" s="37">
        <v>0.375</v>
      </c>
      <c r="L218" s="36">
        <f t="shared" si="19"/>
        <v>4942.5</v>
      </c>
      <c r="M218" s="36">
        <f t="shared" si="20"/>
        <v>0</v>
      </c>
      <c r="N218" s="38">
        <v>44796</v>
      </c>
      <c r="O218" s="36" t="s">
        <v>220</v>
      </c>
      <c r="P218" s="36" t="s">
        <v>734</v>
      </c>
      <c r="Q218" s="191" t="b">
        <v>1</v>
      </c>
      <c r="R218" s="191" t="s">
        <v>737</v>
      </c>
      <c r="S218" s="192" t="s">
        <v>230</v>
      </c>
    </row>
    <row r="219" spans="1:19">
      <c r="A219" s="36">
        <v>52</v>
      </c>
      <c r="B219" s="38">
        <v>44793</v>
      </c>
      <c r="C219" s="36" t="s">
        <v>493</v>
      </c>
      <c r="D219" s="36" t="s">
        <v>709</v>
      </c>
      <c r="E219" s="36" t="s">
        <v>588</v>
      </c>
      <c r="F219" s="36" t="s">
        <v>106</v>
      </c>
      <c r="G219" s="36" t="s">
        <v>589</v>
      </c>
      <c r="H219" s="36">
        <v>24900</v>
      </c>
      <c r="I219" s="36">
        <v>24900</v>
      </c>
      <c r="J219" s="36">
        <f t="shared" si="18"/>
        <v>0</v>
      </c>
      <c r="K219" s="37">
        <v>0.375</v>
      </c>
      <c r="L219" s="36">
        <f t="shared" si="19"/>
        <v>9337.5</v>
      </c>
      <c r="M219" s="36">
        <f t="shared" si="20"/>
        <v>0</v>
      </c>
      <c r="N219" s="38">
        <v>44796</v>
      </c>
      <c r="O219" s="36" t="s">
        <v>220</v>
      </c>
      <c r="P219" s="36" t="s">
        <v>734</v>
      </c>
      <c r="Q219" s="191" t="b">
        <v>1</v>
      </c>
      <c r="R219" s="191" t="s">
        <v>737</v>
      </c>
      <c r="S219" s="192" t="s">
        <v>230</v>
      </c>
    </row>
    <row r="220" spans="1:19">
      <c r="A220" s="36">
        <v>52</v>
      </c>
      <c r="B220" s="38">
        <v>44793</v>
      </c>
      <c r="C220" s="36" t="s">
        <v>493</v>
      </c>
      <c r="D220" s="36" t="s">
        <v>709</v>
      </c>
      <c r="E220" s="36" t="s">
        <v>563</v>
      </c>
      <c r="F220" s="36" t="s">
        <v>106</v>
      </c>
      <c r="G220" s="36" t="s">
        <v>590</v>
      </c>
      <c r="H220" s="36">
        <v>39800</v>
      </c>
      <c r="I220" s="36">
        <v>39800</v>
      </c>
      <c r="J220" s="36">
        <f t="shared" si="18"/>
        <v>0</v>
      </c>
      <c r="K220" s="37">
        <v>0.375</v>
      </c>
      <c r="L220" s="36">
        <f t="shared" si="19"/>
        <v>14925</v>
      </c>
      <c r="M220" s="36">
        <f t="shared" si="20"/>
        <v>0</v>
      </c>
      <c r="N220" s="38">
        <v>44796</v>
      </c>
      <c r="O220" s="36" t="s">
        <v>220</v>
      </c>
      <c r="P220" s="36" t="s">
        <v>734</v>
      </c>
      <c r="Q220" s="191" t="b">
        <v>1</v>
      </c>
      <c r="R220" s="191" t="s">
        <v>737</v>
      </c>
      <c r="S220" s="192" t="s">
        <v>230</v>
      </c>
    </row>
    <row r="221" spans="1:19">
      <c r="A221" s="36">
        <v>52</v>
      </c>
      <c r="B221" s="38">
        <v>44793</v>
      </c>
      <c r="C221" s="36" t="s">
        <v>493</v>
      </c>
      <c r="D221" s="36" t="s">
        <v>709</v>
      </c>
      <c r="E221" s="36" t="s">
        <v>563</v>
      </c>
      <c r="F221" s="36" t="s">
        <v>111</v>
      </c>
      <c r="G221" s="36" t="s">
        <v>591</v>
      </c>
      <c r="H221" s="36">
        <v>16800</v>
      </c>
      <c r="I221" s="36">
        <v>16800</v>
      </c>
      <c r="J221" s="36">
        <f t="shared" si="18"/>
        <v>0</v>
      </c>
      <c r="K221" s="37">
        <v>0.375</v>
      </c>
      <c r="L221" s="36">
        <f t="shared" si="19"/>
        <v>6300</v>
      </c>
      <c r="M221" s="36">
        <f t="shared" si="20"/>
        <v>0</v>
      </c>
      <c r="N221" s="38">
        <v>44796</v>
      </c>
      <c r="O221" s="36" t="s">
        <v>220</v>
      </c>
      <c r="P221" s="36" t="s">
        <v>734</v>
      </c>
      <c r="Q221" s="191" t="b">
        <v>1</v>
      </c>
      <c r="R221" s="191" t="s">
        <v>737</v>
      </c>
      <c r="S221" s="192" t="s">
        <v>230</v>
      </c>
    </row>
    <row r="222" spans="1:19">
      <c r="A222" s="36">
        <v>53</v>
      </c>
      <c r="B222" s="38">
        <v>44796</v>
      </c>
      <c r="C222" s="36" t="s">
        <v>713</v>
      </c>
      <c r="D222" s="36" t="s">
        <v>109</v>
      </c>
      <c r="E222" s="36" t="s">
        <v>457</v>
      </c>
      <c r="F222" s="36" t="s">
        <v>111</v>
      </c>
      <c r="G222" s="36" t="s">
        <v>617</v>
      </c>
      <c r="H222" s="36">
        <v>100</v>
      </c>
      <c r="I222" s="36">
        <v>100</v>
      </c>
      <c r="J222" s="36">
        <f t="shared" si="18"/>
        <v>0</v>
      </c>
      <c r="K222" s="37">
        <v>1</v>
      </c>
      <c r="L222" s="36">
        <f t="shared" si="19"/>
        <v>100</v>
      </c>
      <c r="M222" s="36">
        <f t="shared" si="20"/>
        <v>0</v>
      </c>
      <c r="N222" s="38">
        <v>44796</v>
      </c>
      <c r="O222" s="36" t="s">
        <v>457</v>
      </c>
      <c r="P222" s="36" t="s">
        <v>231</v>
      </c>
    </row>
    <row r="223" spans="1:19">
      <c r="A223" s="36">
        <v>53</v>
      </c>
      <c r="B223" s="38">
        <v>44796</v>
      </c>
      <c r="C223" s="36" t="s">
        <v>713</v>
      </c>
      <c r="D223" s="36" t="s">
        <v>109</v>
      </c>
      <c r="E223" s="36" t="s">
        <v>457</v>
      </c>
      <c r="F223" s="36" t="s">
        <v>111</v>
      </c>
      <c r="G223" s="36" t="s">
        <v>618</v>
      </c>
      <c r="H223" s="36">
        <v>690</v>
      </c>
      <c r="I223" s="36">
        <v>690</v>
      </c>
      <c r="J223" s="36">
        <f t="shared" si="18"/>
        <v>0</v>
      </c>
      <c r="K223" s="37">
        <v>1</v>
      </c>
      <c r="L223" s="36">
        <f t="shared" si="19"/>
        <v>690</v>
      </c>
      <c r="M223" s="36">
        <f t="shared" si="20"/>
        <v>0</v>
      </c>
      <c r="N223" s="38">
        <v>44796</v>
      </c>
      <c r="O223" s="36" t="s">
        <v>457</v>
      </c>
      <c r="P223" s="36" t="s">
        <v>231</v>
      </c>
    </row>
    <row r="224" spans="1:19">
      <c r="A224" s="36">
        <v>54</v>
      </c>
      <c r="B224" s="38">
        <v>44799</v>
      </c>
      <c r="C224" s="36" t="s">
        <v>529</v>
      </c>
      <c r="E224" s="36" t="s">
        <v>619</v>
      </c>
      <c r="F224" s="36" t="s">
        <v>106</v>
      </c>
      <c r="G224" s="36" t="s">
        <v>404</v>
      </c>
      <c r="H224" s="36">
        <v>3980</v>
      </c>
      <c r="I224" s="36">
        <v>3980</v>
      </c>
      <c r="J224" s="36">
        <f t="shared" si="18"/>
        <v>0</v>
      </c>
      <c r="K224" s="37">
        <v>0.45</v>
      </c>
      <c r="L224" s="36">
        <f t="shared" si="19"/>
        <v>1791</v>
      </c>
      <c r="M224" s="36">
        <f t="shared" si="20"/>
        <v>0</v>
      </c>
      <c r="N224" s="38">
        <v>44803</v>
      </c>
      <c r="O224" s="36" t="s">
        <v>544</v>
      </c>
      <c r="P224" s="36" t="s">
        <v>734</v>
      </c>
      <c r="Q224" s="191" t="b">
        <v>1</v>
      </c>
      <c r="R224" s="191" t="s">
        <v>737</v>
      </c>
      <c r="S224" s="36" t="s">
        <v>230</v>
      </c>
    </row>
    <row r="225" spans="1:19">
      <c r="A225" s="36">
        <v>54</v>
      </c>
      <c r="B225" s="38">
        <v>44799</v>
      </c>
      <c r="C225" s="36" t="s">
        <v>529</v>
      </c>
      <c r="E225" s="36" t="s">
        <v>620</v>
      </c>
      <c r="F225" s="36" t="s">
        <v>106</v>
      </c>
      <c r="G225" s="36" t="s">
        <v>404</v>
      </c>
      <c r="H225" s="36">
        <v>3980</v>
      </c>
      <c r="I225" s="36">
        <v>100</v>
      </c>
      <c r="J225" s="36">
        <f t="shared" si="18"/>
        <v>3880</v>
      </c>
      <c r="K225" s="37">
        <v>0.45</v>
      </c>
      <c r="L225" s="36">
        <f t="shared" si="19"/>
        <v>45</v>
      </c>
      <c r="M225" s="36">
        <f t="shared" si="20"/>
        <v>1746</v>
      </c>
      <c r="N225" s="38">
        <v>44803</v>
      </c>
      <c r="O225" s="36" t="s">
        <v>544</v>
      </c>
      <c r="P225" s="36" t="s">
        <v>734</v>
      </c>
      <c r="Q225" s="191" t="b">
        <v>1</v>
      </c>
      <c r="R225" s="191" t="s">
        <v>737</v>
      </c>
      <c r="S225" s="36" t="s">
        <v>230</v>
      </c>
    </row>
    <row r="226" spans="1:19">
      <c r="A226" s="36">
        <v>54</v>
      </c>
      <c r="B226" s="38">
        <v>44799</v>
      </c>
      <c r="C226" s="36" t="s">
        <v>529</v>
      </c>
      <c r="E226" s="36" t="s">
        <v>621</v>
      </c>
      <c r="F226" s="36" t="s">
        <v>106</v>
      </c>
      <c r="G226" s="36" t="s">
        <v>123</v>
      </c>
      <c r="H226" s="36">
        <v>52800</v>
      </c>
      <c r="I226" s="36">
        <v>52800</v>
      </c>
      <c r="J226" s="36">
        <f t="shared" si="18"/>
        <v>0</v>
      </c>
      <c r="K226" s="37">
        <v>0.45</v>
      </c>
      <c r="L226" s="36">
        <f t="shared" si="19"/>
        <v>23760</v>
      </c>
      <c r="M226" s="36">
        <f t="shared" si="20"/>
        <v>0</v>
      </c>
      <c r="N226" s="38">
        <v>44803</v>
      </c>
      <c r="O226" s="36" t="s">
        <v>544</v>
      </c>
      <c r="P226" s="36" t="s">
        <v>734</v>
      </c>
      <c r="Q226" s="191" t="b">
        <v>1</v>
      </c>
      <c r="R226" s="191" t="s">
        <v>737</v>
      </c>
      <c r="S226" s="36" t="s">
        <v>230</v>
      </c>
    </row>
    <row r="227" spans="1:19">
      <c r="A227" s="36">
        <v>54</v>
      </c>
      <c r="B227" s="38">
        <v>44800</v>
      </c>
      <c r="C227" s="36" t="s">
        <v>529</v>
      </c>
      <c r="E227" s="36" t="s">
        <v>530</v>
      </c>
      <c r="F227" s="36" t="s">
        <v>106</v>
      </c>
      <c r="G227" s="36" t="s">
        <v>622</v>
      </c>
      <c r="H227" s="36">
        <v>980</v>
      </c>
      <c r="I227" s="36">
        <v>980</v>
      </c>
      <c r="J227" s="36">
        <f t="shared" si="18"/>
        <v>0</v>
      </c>
      <c r="K227" s="37">
        <v>0.45</v>
      </c>
      <c r="L227" s="36">
        <f t="shared" si="19"/>
        <v>441</v>
      </c>
      <c r="M227" s="36">
        <f t="shared" si="20"/>
        <v>0</v>
      </c>
      <c r="N227" s="38">
        <v>44803</v>
      </c>
      <c r="O227" s="36" t="s">
        <v>544</v>
      </c>
      <c r="P227" s="36" t="s">
        <v>734</v>
      </c>
      <c r="Q227" s="191" t="b">
        <v>1</v>
      </c>
      <c r="R227" s="191" t="s">
        <v>737</v>
      </c>
      <c r="S227" s="36" t="s">
        <v>230</v>
      </c>
    </row>
    <row r="228" spans="1:19">
      <c r="A228" s="36">
        <v>54</v>
      </c>
      <c r="B228" s="38">
        <v>44800</v>
      </c>
      <c r="C228" s="36" t="s">
        <v>529</v>
      </c>
      <c r="E228" s="36" t="s">
        <v>623</v>
      </c>
      <c r="F228" s="36" t="s">
        <v>106</v>
      </c>
      <c r="G228" s="36" t="s">
        <v>404</v>
      </c>
      <c r="H228" s="36">
        <v>3980</v>
      </c>
      <c r="I228" s="36">
        <v>3980</v>
      </c>
      <c r="J228" s="36">
        <f t="shared" si="18"/>
        <v>0</v>
      </c>
      <c r="K228" s="37">
        <v>0.45</v>
      </c>
      <c r="L228" s="36">
        <f t="shared" si="19"/>
        <v>1791</v>
      </c>
      <c r="M228" s="36">
        <f t="shared" si="20"/>
        <v>0</v>
      </c>
      <c r="N228" s="38">
        <v>44803</v>
      </c>
      <c r="O228" s="36" t="s">
        <v>544</v>
      </c>
      <c r="P228" s="36" t="s">
        <v>734</v>
      </c>
      <c r="Q228" s="191" t="b">
        <v>1</v>
      </c>
      <c r="R228" s="191" t="s">
        <v>737</v>
      </c>
      <c r="S228" s="36" t="s">
        <v>230</v>
      </c>
    </row>
    <row r="229" spans="1:19">
      <c r="A229" s="36">
        <v>54</v>
      </c>
      <c r="B229" s="38">
        <v>44801</v>
      </c>
      <c r="C229" s="36" t="s">
        <v>529</v>
      </c>
      <c r="E229" s="36" t="s">
        <v>624</v>
      </c>
      <c r="F229" s="36" t="s">
        <v>106</v>
      </c>
      <c r="G229" s="36" t="s">
        <v>625</v>
      </c>
      <c r="H229" s="36">
        <v>41280</v>
      </c>
      <c r="I229" s="36">
        <v>41280</v>
      </c>
      <c r="J229" s="36">
        <f t="shared" si="18"/>
        <v>0</v>
      </c>
      <c r="K229" s="37">
        <v>0.45</v>
      </c>
      <c r="L229" s="36">
        <f t="shared" si="19"/>
        <v>18576</v>
      </c>
      <c r="M229" s="36">
        <f t="shared" si="20"/>
        <v>0</v>
      </c>
      <c r="N229" s="38">
        <v>44803</v>
      </c>
      <c r="O229" s="36" t="s">
        <v>544</v>
      </c>
      <c r="P229" s="36" t="s">
        <v>734</v>
      </c>
      <c r="Q229" s="191" t="b">
        <v>1</v>
      </c>
      <c r="R229" s="191" t="s">
        <v>737</v>
      </c>
      <c r="S229" s="36" t="s">
        <v>230</v>
      </c>
    </row>
    <row r="230" spans="1:19">
      <c r="A230" s="36">
        <v>55</v>
      </c>
      <c r="B230" s="38">
        <v>44803</v>
      </c>
      <c r="C230" s="36" t="s">
        <v>493</v>
      </c>
      <c r="D230" s="36" t="s">
        <v>716</v>
      </c>
      <c r="E230" s="36" t="s">
        <v>579</v>
      </c>
      <c r="F230" s="36" t="s">
        <v>185</v>
      </c>
      <c r="G230" s="36" t="s">
        <v>626</v>
      </c>
      <c r="H230" s="36">
        <v>0</v>
      </c>
      <c r="I230" s="36">
        <v>17000</v>
      </c>
      <c r="J230" s="36">
        <f t="shared" si="18"/>
        <v>-17000</v>
      </c>
      <c r="K230" s="37">
        <v>0.45</v>
      </c>
      <c r="L230" s="36">
        <f t="shared" si="19"/>
        <v>7650</v>
      </c>
      <c r="M230" s="36">
        <f t="shared" si="20"/>
        <v>-7650</v>
      </c>
      <c r="N230" s="38">
        <v>44807</v>
      </c>
      <c r="O230" s="36" t="s">
        <v>220</v>
      </c>
      <c r="P230" s="36" t="s">
        <v>734</v>
      </c>
      <c r="Q230" s="191" t="b">
        <v>1</v>
      </c>
      <c r="R230" s="191" t="s">
        <v>737</v>
      </c>
      <c r="S230" s="192" t="s">
        <v>230</v>
      </c>
    </row>
    <row r="231" spans="1:19">
      <c r="A231" s="36">
        <v>56</v>
      </c>
      <c r="B231" s="38">
        <v>44807</v>
      </c>
      <c r="C231" s="36" t="s">
        <v>493</v>
      </c>
      <c r="D231" s="36" t="s">
        <v>709</v>
      </c>
      <c r="E231" s="36" t="s">
        <v>418</v>
      </c>
      <c r="F231" s="36" t="s">
        <v>111</v>
      </c>
      <c r="G231" s="36" t="s">
        <v>637</v>
      </c>
      <c r="H231" s="36">
        <v>14800</v>
      </c>
      <c r="I231" s="36">
        <v>14800</v>
      </c>
      <c r="J231" s="36">
        <f t="shared" si="18"/>
        <v>0</v>
      </c>
      <c r="K231" s="37">
        <v>0.375</v>
      </c>
      <c r="L231" s="36">
        <f t="shared" si="19"/>
        <v>5550</v>
      </c>
      <c r="M231" s="36">
        <f t="shared" si="20"/>
        <v>0</v>
      </c>
      <c r="N231" s="38">
        <v>44812</v>
      </c>
      <c r="O231" s="36" t="s">
        <v>220</v>
      </c>
      <c r="P231" s="36" t="s">
        <v>734</v>
      </c>
      <c r="Q231" s="191" t="b">
        <v>1</v>
      </c>
      <c r="R231" s="191" t="s">
        <v>737</v>
      </c>
      <c r="S231" s="192" t="s">
        <v>230</v>
      </c>
    </row>
    <row r="232" spans="1:19">
      <c r="A232" s="36">
        <v>56</v>
      </c>
      <c r="B232" s="38">
        <v>44808</v>
      </c>
      <c r="C232" s="36" t="s">
        <v>493</v>
      </c>
      <c r="D232" s="36" t="s">
        <v>708</v>
      </c>
      <c r="E232" s="36" t="s">
        <v>638</v>
      </c>
      <c r="F232" s="36" t="s">
        <v>106</v>
      </c>
      <c r="G232" s="36" t="s">
        <v>639</v>
      </c>
      <c r="H232" s="36">
        <v>39800</v>
      </c>
      <c r="I232" s="36">
        <v>39800</v>
      </c>
      <c r="J232" s="36">
        <f t="shared" si="18"/>
        <v>0</v>
      </c>
      <c r="K232" s="37">
        <v>0.375</v>
      </c>
      <c r="L232" s="36">
        <f t="shared" si="19"/>
        <v>14925</v>
      </c>
      <c r="M232" s="36">
        <f t="shared" si="20"/>
        <v>0</v>
      </c>
      <c r="N232" s="38">
        <v>44812</v>
      </c>
      <c r="O232" s="36" t="s">
        <v>220</v>
      </c>
      <c r="P232" s="36" t="s">
        <v>734</v>
      </c>
      <c r="Q232" s="191" t="b">
        <v>1</v>
      </c>
      <c r="R232" s="191" t="s">
        <v>737</v>
      </c>
      <c r="S232" s="192" t="s">
        <v>230</v>
      </c>
    </row>
    <row r="233" spans="1:19">
      <c r="A233" s="36">
        <v>56</v>
      </c>
      <c r="B233" s="38">
        <v>44811</v>
      </c>
      <c r="C233" s="36" t="s">
        <v>493</v>
      </c>
      <c r="D233" s="36" t="s">
        <v>715</v>
      </c>
      <c r="E233" s="36" t="s">
        <v>641</v>
      </c>
      <c r="F233" s="36" t="s">
        <v>106</v>
      </c>
      <c r="G233" s="36" t="s">
        <v>404</v>
      </c>
      <c r="H233" s="36">
        <v>5880</v>
      </c>
      <c r="I233" s="36">
        <v>5880</v>
      </c>
      <c r="J233" s="36">
        <f t="shared" ref="J233:J264" si="21">H233-I233</f>
        <v>0</v>
      </c>
      <c r="K233" s="37">
        <v>0.375</v>
      </c>
      <c r="L233" s="36">
        <f t="shared" si="19"/>
        <v>2205</v>
      </c>
      <c r="M233" s="36">
        <f t="shared" si="20"/>
        <v>0</v>
      </c>
      <c r="N233" s="38">
        <v>44812</v>
      </c>
      <c r="O233" s="36" t="s">
        <v>220</v>
      </c>
      <c r="P233" s="36" t="s">
        <v>734</v>
      </c>
      <c r="Q233" s="191" t="b">
        <v>1</v>
      </c>
      <c r="R233" s="191" t="s">
        <v>737</v>
      </c>
      <c r="S233" s="192" t="s">
        <v>230</v>
      </c>
    </row>
    <row r="234" spans="1:19">
      <c r="A234" s="36">
        <v>56</v>
      </c>
      <c r="B234" s="38">
        <v>44811</v>
      </c>
      <c r="C234" s="36" t="s">
        <v>493</v>
      </c>
      <c r="D234" s="36" t="s">
        <v>715</v>
      </c>
      <c r="E234" s="36" t="s">
        <v>642</v>
      </c>
      <c r="F234" s="36" t="s">
        <v>106</v>
      </c>
      <c r="G234" s="36" t="s">
        <v>643</v>
      </c>
      <c r="H234" s="36">
        <v>9900</v>
      </c>
      <c r="I234" s="36">
        <v>9900</v>
      </c>
      <c r="J234" s="36">
        <v>0</v>
      </c>
      <c r="K234" s="37">
        <v>0.375</v>
      </c>
      <c r="L234" s="36">
        <f t="shared" si="19"/>
        <v>3712.5</v>
      </c>
      <c r="M234" s="36">
        <f t="shared" si="20"/>
        <v>0</v>
      </c>
      <c r="N234" s="38">
        <v>44812</v>
      </c>
      <c r="O234" s="36" t="s">
        <v>220</v>
      </c>
      <c r="P234" s="36" t="s">
        <v>734</v>
      </c>
      <c r="Q234" s="191" t="b">
        <v>1</v>
      </c>
      <c r="R234" s="191" t="s">
        <v>737</v>
      </c>
      <c r="S234" s="192" t="s">
        <v>230</v>
      </c>
    </row>
    <row r="235" spans="1:19">
      <c r="A235" s="36">
        <v>57</v>
      </c>
      <c r="B235" s="38">
        <v>44809</v>
      </c>
      <c r="C235" s="36" t="s">
        <v>711</v>
      </c>
      <c r="D235" s="36" t="s">
        <v>718</v>
      </c>
      <c r="E235" s="36" t="s">
        <v>149</v>
      </c>
      <c r="F235" s="36" t="s">
        <v>106</v>
      </c>
      <c r="G235" s="36" t="s">
        <v>634</v>
      </c>
      <c r="H235" s="36">
        <v>52500</v>
      </c>
      <c r="I235" s="36">
        <v>52500</v>
      </c>
      <c r="J235" s="36">
        <f t="shared" ref="J235:J266" si="22">H235-I235</f>
        <v>0</v>
      </c>
      <c r="K235" s="37">
        <v>0.45</v>
      </c>
      <c r="L235" s="36">
        <f t="shared" si="19"/>
        <v>23625</v>
      </c>
      <c r="M235" s="36">
        <f t="shared" si="20"/>
        <v>0</v>
      </c>
      <c r="N235" s="38">
        <v>44811</v>
      </c>
      <c r="O235" s="36" t="s">
        <v>430</v>
      </c>
      <c r="P235" s="36" t="s">
        <v>734</v>
      </c>
      <c r="Q235" s="191" t="b">
        <v>1</v>
      </c>
      <c r="R235" s="191" t="s">
        <v>737</v>
      </c>
      <c r="S235" s="36" t="s">
        <v>230</v>
      </c>
    </row>
    <row r="236" spans="1:19">
      <c r="A236" s="36">
        <v>58</v>
      </c>
      <c r="B236" s="38">
        <v>44810</v>
      </c>
      <c r="C236" s="36" t="s">
        <v>713</v>
      </c>
      <c r="D236" s="36" t="s">
        <v>109</v>
      </c>
      <c r="E236" s="36" t="s">
        <v>451</v>
      </c>
      <c r="F236" s="36" t="s">
        <v>111</v>
      </c>
      <c r="G236" s="36" t="s">
        <v>640</v>
      </c>
      <c r="H236" s="36">
        <v>13800</v>
      </c>
      <c r="I236" s="36">
        <v>13800</v>
      </c>
      <c r="J236" s="36">
        <f t="shared" si="22"/>
        <v>0</v>
      </c>
      <c r="K236" s="37">
        <v>0.5</v>
      </c>
      <c r="L236" s="36">
        <f t="shared" si="19"/>
        <v>6900</v>
      </c>
      <c r="M236" s="36">
        <f t="shared" si="20"/>
        <v>0</v>
      </c>
      <c r="N236" s="38">
        <v>44810</v>
      </c>
      <c r="O236" s="36" t="s">
        <v>113</v>
      </c>
      <c r="P236" s="36" t="s">
        <v>734</v>
      </c>
      <c r="Q236" s="191" t="b">
        <v>1</v>
      </c>
      <c r="R236" s="191" t="s">
        <v>737</v>
      </c>
    </row>
    <row r="237" spans="1:19">
      <c r="A237" s="36">
        <v>59</v>
      </c>
      <c r="B237" s="38">
        <v>44816</v>
      </c>
      <c r="C237" s="36" t="s">
        <v>644</v>
      </c>
      <c r="D237" s="192" t="s">
        <v>712</v>
      </c>
      <c r="E237" s="36" t="s">
        <v>659</v>
      </c>
      <c r="F237" s="36" t="s">
        <v>106</v>
      </c>
      <c r="G237" s="36" t="s">
        <v>645</v>
      </c>
      <c r="H237" s="36">
        <v>26800</v>
      </c>
      <c r="I237" s="36">
        <v>26800</v>
      </c>
      <c r="J237" s="36">
        <f t="shared" si="22"/>
        <v>0</v>
      </c>
      <c r="K237" s="37">
        <v>0.5</v>
      </c>
      <c r="L237" s="36">
        <f t="shared" ref="L237:L268" si="23">I237*K237</f>
        <v>13400</v>
      </c>
      <c r="M237" s="36">
        <f t="shared" si="20"/>
        <v>0</v>
      </c>
      <c r="N237" s="38">
        <v>44816</v>
      </c>
      <c r="O237" s="36" t="s">
        <v>585</v>
      </c>
      <c r="P237" s="36" t="s">
        <v>231</v>
      </c>
    </row>
    <row r="238" spans="1:19">
      <c r="A238" s="36">
        <v>60</v>
      </c>
      <c r="B238" s="38">
        <v>44825</v>
      </c>
      <c r="C238" s="36" t="s">
        <v>717</v>
      </c>
      <c r="D238" s="36" t="s">
        <v>712</v>
      </c>
      <c r="E238" s="36" t="s">
        <v>648</v>
      </c>
      <c r="F238" s="36" t="s">
        <v>106</v>
      </c>
      <c r="G238" s="36" t="s">
        <v>649</v>
      </c>
      <c r="H238" s="36">
        <v>73380</v>
      </c>
      <c r="I238" s="36">
        <v>73380</v>
      </c>
      <c r="J238" s="36">
        <f t="shared" si="22"/>
        <v>0</v>
      </c>
      <c r="K238" s="37">
        <v>0.5</v>
      </c>
      <c r="L238" s="36">
        <f t="shared" si="23"/>
        <v>36690</v>
      </c>
      <c r="M238" s="36">
        <f t="shared" si="20"/>
        <v>0</v>
      </c>
      <c r="N238" s="38">
        <v>44827</v>
      </c>
      <c r="O238" s="36" t="s">
        <v>658</v>
      </c>
      <c r="P238" s="36" t="s">
        <v>734</v>
      </c>
      <c r="Q238" s="191" t="b">
        <v>1</v>
      </c>
      <c r="R238" s="191" t="s">
        <v>737</v>
      </c>
    </row>
    <row r="239" spans="1:19">
      <c r="A239" s="36">
        <v>60</v>
      </c>
      <c r="B239" s="38">
        <v>44826</v>
      </c>
      <c r="C239" s="36" t="s">
        <v>717</v>
      </c>
      <c r="D239" s="36" t="s">
        <v>712</v>
      </c>
      <c r="E239" s="36" t="s">
        <v>650</v>
      </c>
      <c r="F239" s="36" t="s">
        <v>106</v>
      </c>
      <c r="G239" s="36" t="s">
        <v>651</v>
      </c>
      <c r="H239" s="36">
        <v>4460</v>
      </c>
      <c r="I239" s="36">
        <v>4460</v>
      </c>
      <c r="J239" s="36">
        <f t="shared" si="22"/>
        <v>0</v>
      </c>
      <c r="K239" s="37">
        <v>0.5</v>
      </c>
      <c r="L239" s="36">
        <f t="shared" si="23"/>
        <v>2230</v>
      </c>
      <c r="M239" s="36">
        <f t="shared" si="20"/>
        <v>0</v>
      </c>
      <c r="N239" s="38">
        <v>44827</v>
      </c>
      <c r="O239" s="36" t="s">
        <v>658</v>
      </c>
      <c r="P239" s="36" t="s">
        <v>734</v>
      </c>
      <c r="Q239" s="191" t="b">
        <v>1</v>
      </c>
      <c r="R239" s="191" t="s">
        <v>737</v>
      </c>
    </row>
    <row r="240" spans="1:19">
      <c r="A240" s="36">
        <v>60</v>
      </c>
      <c r="B240" s="38">
        <v>44826</v>
      </c>
      <c r="C240" s="36" t="s">
        <v>717</v>
      </c>
      <c r="D240" s="36" t="s">
        <v>712</v>
      </c>
      <c r="E240" s="36" t="s">
        <v>652</v>
      </c>
      <c r="F240" s="36" t="s">
        <v>106</v>
      </c>
      <c r="G240" s="36" t="s">
        <v>226</v>
      </c>
      <c r="H240" s="36">
        <v>34900</v>
      </c>
      <c r="I240" s="36">
        <v>34900</v>
      </c>
      <c r="J240" s="36">
        <f t="shared" si="22"/>
        <v>0</v>
      </c>
      <c r="K240" s="37">
        <v>0.5</v>
      </c>
      <c r="L240" s="36">
        <f t="shared" si="23"/>
        <v>17450</v>
      </c>
      <c r="M240" s="36">
        <f t="shared" si="20"/>
        <v>0</v>
      </c>
      <c r="N240" s="38">
        <v>44827</v>
      </c>
      <c r="O240" s="36" t="s">
        <v>658</v>
      </c>
      <c r="P240" s="36" t="s">
        <v>734</v>
      </c>
      <c r="Q240" s="191" t="b">
        <v>1</v>
      </c>
      <c r="R240" s="191" t="s">
        <v>737</v>
      </c>
    </row>
    <row r="241" spans="1:19">
      <c r="A241" s="36">
        <v>61</v>
      </c>
      <c r="B241" s="38">
        <v>44824</v>
      </c>
      <c r="C241" s="36" t="s">
        <v>493</v>
      </c>
      <c r="D241" s="36" t="s">
        <v>709</v>
      </c>
      <c r="E241" s="36" t="s">
        <v>653</v>
      </c>
      <c r="F241" s="36" t="s">
        <v>111</v>
      </c>
      <c r="G241" s="36" t="s">
        <v>654</v>
      </c>
      <c r="H241" s="36">
        <v>1196</v>
      </c>
      <c r="I241" s="36">
        <v>1196</v>
      </c>
      <c r="J241" s="36">
        <f t="shared" si="22"/>
        <v>0</v>
      </c>
      <c r="K241" s="37">
        <v>0.375</v>
      </c>
      <c r="L241" s="36">
        <f t="shared" si="23"/>
        <v>448.5</v>
      </c>
      <c r="M241" s="36">
        <f t="shared" si="20"/>
        <v>0</v>
      </c>
      <c r="N241" s="38">
        <v>44832</v>
      </c>
      <c r="O241" s="36" t="s">
        <v>220</v>
      </c>
      <c r="P241" s="36" t="s">
        <v>734</v>
      </c>
      <c r="Q241" s="191" t="b">
        <v>1</v>
      </c>
      <c r="R241" s="191" t="s">
        <v>737</v>
      </c>
      <c r="S241" s="192" t="s">
        <v>230</v>
      </c>
    </row>
    <row r="242" spans="1:19">
      <c r="A242" s="36">
        <v>61</v>
      </c>
      <c r="B242" s="38">
        <v>44828</v>
      </c>
      <c r="C242" s="36" t="s">
        <v>493</v>
      </c>
      <c r="D242" s="36" t="s">
        <v>716</v>
      </c>
      <c r="E242" s="36" t="s">
        <v>120</v>
      </c>
      <c r="F242" s="36" t="s">
        <v>111</v>
      </c>
      <c r="G242" s="36" t="s">
        <v>655</v>
      </c>
      <c r="H242" s="36">
        <v>2900</v>
      </c>
      <c r="I242" s="36">
        <v>2900</v>
      </c>
      <c r="J242" s="36">
        <f t="shared" si="22"/>
        <v>0</v>
      </c>
      <c r="K242" s="37">
        <v>0.375</v>
      </c>
      <c r="L242" s="36">
        <f t="shared" si="23"/>
        <v>1087.5</v>
      </c>
      <c r="M242" s="36">
        <f t="shared" si="20"/>
        <v>0</v>
      </c>
      <c r="N242" s="38">
        <v>44832</v>
      </c>
      <c r="O242" s="36" t="s">
        <v>220</v>
      </c>
      <c r="P242" s="36" t="s">
        <v>734</v>
      </c>
      <c r="Q242" s="191" t="b">
        <v>1</v>
      </c>
      <c r="R242" s="191" t="s">
        <v>737</v>
      </c>
      <c r="S242" s="192" t="s">
        <v>230</v>
      </c>
    </row>
    <row r="243" spans="1:19">
      <c r="A243" s="36">
        <v>61</v>
      </c>
      <c r="B243" s="38">
        <v>44828</v>
      </c>
      <c r="C243" s="36" t="s">
        <v>493</v>
      </c>
      <c r="D243" s="36" t="s">
        <v>716</v>
      </c>
      <c r="E243" s="36" t="s">
        <v>638</v>
      </c>
      <c r="F243" s="36" t="s">
        <v>106</v>
      </c>
      <c r="G243" s="36" t="s">
        <v>656</v>
      </c>
      <c r="H243" s="36">
        <v>59800</v>
      </c>
      <c r="I243" s="36">
        <v>59800</v>
      </c>
      <c r="J243" s="36">
        <f t="shared" si="22"/>
        <v>0</v>
      </c>
      <c r="K243" s="37">
        <v>0.375</v>
      </c>
      <c r="L243" s="36">
        <f t="shared" si="23"/>
        <v>22425</v>
      </c>
      <c r="M243" s="36">
        <f t="shared" si="20"/>
        <v>0</v>
      </c>
      <c r="N243" s="38">
        <v>44832</v>
      </c>
      <c r="O243" s="36" t="s">
        <v>220</v>
      </c>
      <c r="P243" s="36" t="s">
        <v>734</v>
      </c>
      <c r="Q243" s="191" t="b">
        <v>1</v>
      </c>
      <c r="R243" s="191" t="s">
        <v>737</v>
      </c>
      <c r="S243" s="192" t="s">
        <v>230</v>
      </c>
    </row>
    <row r="244" spans="1:19">
      <c r="A244" s="36">
        <v>61</v>
      </c>
      <c r="B244" s="38">
        <v>44828</v>
      </c>
      <c r="C244" s="36" t="s">
        <v>493</v>
      </c>
      <c r="D244" s="36" t="s">
        <v>716</v>
      </c>
      <c r="E244" s="36" t="s">
        <v>638</v>
      </c>
      <c r="F244" s="36" t="s">
        <v>111</v>
      </c>
      <c r="G244" s="36" t="s">
        <v>657</v>
      </c>
      <c r="H244" s="36">
        <v>4980</v>
      </c>
      <c r="I244" s="36">
        <v>4980</v>
      </c>
      <c r="J244" s="36">
        <f t="shared" si="22"/>
        <v>0</v>
      </c>
      <c r="K244" s="37">
        <v>0.375</v>
      </c>
      <c r="L244" s="36">
        <f t="shared" si="23"/>
        <v>1867.5</v>
      </c>
      <c r="M244" s="36">
        <f t="shared" si="20"/>
        <v>0</v>
      </c>
      <c r="N244" s="38">
        <v>44832</v>
      </c>
      <c r="O244" s="36" t="s">
        <v>220</v>
      </c>
      <c r="P244" s="36" t="s">
        <v>734</v>
      </c>
      <c r="Q244" s="191" t="b">
        <v>1</v>
      </c>
      <c r="R244" s="191" t="s">
        <v>737</v>
      </c>
      <c r="S244" s="192" t="s">
        <v>230</v>
      </c>
    </row>
    <row r="245" spans="1:19">
      <c r="A245" s="36">
        <v>61</v>
      </c>
      <c r="B245" s="38">
        <v>44831</v>
      </c>
      <c r="C245" s="36" t="s">
        <v>493</v>
      </c>
      <c r="D245" s="36" t="s">
        <v>716</v>
      </c>
      <c r="E245" s="36" t="s">
        <v>638</v>
      </c>
      <c r="F245" s="36" t="s">
        <v>300</v>
      </c>
      <c r="G245" s="36" t="s">
        <v>300</v>
      </c>
      <c r="H245" s="36">
        <v>-20000</v>
      </c>
      <c r="I245" s="36">
        <v>-20000</v>
      </c>
      <c r="J245" s="36">
        <f t="shared" si="22"/>
        <v>0</v>
      </c>
      <c r="K245" s="37">
        <v>0.375</v>
      </c>
      <c r="L245" s="36">
        <f t="shared" si="23"/>
        <v>-7500</v>
      </c>
      <c r="M245" s="36">
        <f t="shared" si="20"/>
        <v>0</v>
      </c>
      <c r="N245" s="38">
        <v>44832</v>
      </c>
      <c r="O245" s="36" t="s">
        <v>220</v>
      </c>
      <c r="P245" s="36" t="s">
        <v>734</v>
      </c>
      <c r="Q245" s="191" t="b">
        <v>1</v>
      </c>
      <c r="R245" s="191" t="s">
        <v>737</v>
      </c>
      <c r="S245" s="192" t="s">
        <v>230</v>
      </c>
    </row>
    <row r="246" spans="1:19">
      <c r="A246" s="36">
        <v>62</v>
      </c>
      <c r="B246" s="38">
        <v>44817</v>
      </c>
      <c r="C246" s="36" t="s">
        <v>387</v>
      </c>
      <c r="D246" s="36" t="s">
        <v>720</v>
      </c>
      <c r="E246" s="36" t="s">
        <v>611</v>
      </c>
      <c r="F246" s="36" t="s">
        <v>106</v>
      </c>
      <c r="G246" s="36" t="s">
        <v>660</v>
      </c>
      <c r="H246" s="36">
        <v>13800</v>
      </c>
      <c r="I246" s="36">
        <v>13800</v>
      </c>
      <c r="J246" s="36">
        <f t="shared" si="22"/>
        <v>0</v>
      </c>
      <c r="K246" s="37">
        <v>0.4</v>
      </c>
      <c r="L246" s="36">
        <f t="shared" si="23"/>
        <v>5520</v>
      </c>
      <c r="M246" s="36">
        <f t="shared" si="20"/>
        <v>0</v>
      </c>
      <c r="N246" s="38">
        <v>44834</v>
      </c>
      <c r="O246" s="36" t="s">
        <v>482</v>
      </c>
      <c r="P246" s="36" t="s">
        <v>734</v>
      </c>
      <c r="Q246" s="191" t="b">
        <v>1</v>
      </c>
      <c r="R246" s="191" t="s">
        <v>737</v>
      </c>
    </row>
    <row r="247" spans="1:19">
      <c r="A247" s="36">
        <v>62</v>
      </c>
      <c r="B247" s="38">
        <v>44818</v>
      </c>
      <c r="C247" s="36" t="s">
        <v>387</v>
      </c>
      <c r="D247" s="36" t="s">
        <v>720</v>
      </c>
      <c r="E247" s="36" t="s">
        <v>501</v>
      </c>
      <c r="F247" s="36" t="s">
        <v>106</v>
      </c>
      <c r="G247" s="36" t="s">
        <v>660</v>
      </c>
      <c r="H247" s="36">
        <v>9900</v>
      </c>
      <c r="I247" s="36">
        <v>3900</v>
      </c>
      <c r="J247" s="36">
        <f t="shared" si="22"/>
        <v>6000</v>
      </c>
      <c r="K247" s="37">
        <v>0.4</v>
      </c>
      <c r="L247" s="36">
        <f t="shared" si="23"/>
        <v>1560</v>
      </c>
      <c r="M247" s="36">
        <f t="shared" si="20"/>
        <v>2400</v>
      </c>
      <c r="N247" s="38">
        <v>44834</v>
      </c>
      <c r="O247" s="36" t="s">
        <v>482</v>
      </c>
      <c r="P247" s="36" t="s">
        <v>734</v>
      </c>
      <c r="Q247" s="191" t="b">
        <v>1</v>
      </c>
      <c r="R247" s="191" t="s">
        <v>737</v>
      </c>
    </row>
    <row r="248" spans="1:19">
      <c r="A248" s="36">
        <v>62</v>
      </c>
      <c r="B248" s="38">
        <v>44818</v>
      </c>
      <c r="C248" s="36" t="s">
        <v>387</v>
      </c>
      <c r="D248" s="36" t="s">
        <v>726</v>
      </c>
      <c r="E248" s="36" t="s">
        <v>397</v>
      </c>
      <c r="F248" s="36" t="s">
        <v>106</v>
      </c>
      <c r="G248" s="36" t="s">
        <v>639</v>
      </c>
      <c r="H248" s="36">
        <v>16800</v>
      </c>
      <c r="I248" s="36">
        <v>16800</v>
      </c>
      <c r="J248" s="36">
        <f t="shared" si="22"/>
        <v>0</v>
      </c>
      <c r="K248" s="37">
        <v>0.4</v>
      </c>
      <c r="L248" s="36">
        <f t="shared" si="23"/>
        <v>6720</v>
      </c>
      <c r="M248" s="36">
        <f t="shared" si="20"/>
        <v>0</v>
      </c>
      <c r="N248" s="38">
        <v>44834</v>
      </c>
      <c r="O248" s="36" t="s">
        <v>482</v>
      </c>
      <c r="P248" s="36" t="s">
        <v>734</v>
      </c>
      <c r="Q248" s="191" t="b">
        <v>1</v>
      </c>
      <c r="R248" s="191" t="s">
        <v>737</v>
      </c>
    </row>
    <row r="249" spans="1:19">
      <c r="A249" s="36">
        <v>62</v>
      </c>
      <c r="B249" s="38">
        <v>44818</v>
      </c>
      <c r="C249" s="36" t="s">
        <v>387</v>
      </c>
      <c r="D249" s="36" t="s">
        <v>723</v>
      </c>
      <c r="E249" s="36" t="s">
        <v>661</v>
      </c>
      <c r="F249" s="36" t="s">
        <v>106</v>
      </c>
      <c r="G249" s="36" t="s">
        <v>226</v>
      </c>
      <c r="H249" s="36">
        <v>11940</v>
      </c>
      <c r="I249" s="36">
        <v>11940</v>
      </c>
      <c r="J249" s="36">
        <f t="shared" si="22"/>
        <v>0</v>
      </c>
      <c r="K249" s="37">
        <v>0.4</v>
      </c>
      <c r="L249" s="36">
        <f t="shared" si="23"/>
        <v>4776</v>
      </c>
      <c r="M249" s="36">
        <f t="shared" si="20"/>
        <v>0</v>
      </c>
      <c r="N249" s="38">
        <v>44834</v>
      </c>
      <c r="O249" s="36" t="s">
        <v>482</v>
      </c>
      <c r="P249" s="36" t="s">
        <v>734</v>
      </c>
      <c r="Q249" s="191" t="b">
        <v>1</v>
      </c>
      <c r="R249" s="191" t="s">
        <v>737</v>
      </c>
    </row>
    <row r="250" spans="1:19">
      <c r="A250" s="36">
        <v>62</v>
      </c>
      <c r="B250" s="38">
        <v>44819</v>
      </c>
      <c r="C250" s="36" t="s">
        <v>387</v>
      </c>
      <c r="D250" s="36" t="s">
        <v>719</v>
      </c>
      <c r="E250" s="36" t="s">
        <v>436</v>
      </c>
      <c r="F250" s="36" t="s">
        <v>106</v>
      </c>
      <c r="G250" s="36" t="s">
        <v>404</v>
      </c>
      <c r="H250" s="36">
        <v>6000</v>
      </c>
      <c r="I250" s="36">
        <v>6000</v>
      </c>
      <c r="J250" s="36">
        <f t="shared" si="22"/>
        <v>0</v>
      </c>
      <c r="K250" s="37">
        <v>0.4</v>
      </c>
      <c r="L250" s="36">
        <f t="shared" si="23"/>
        <v>2400</v>
      </c>
      <c r="M250" s="36">
        <f t="shared" si="20"/>
        <v>0</v>
      </c>
      <c r="N250" s="38">
        <v>44834</v>
      </c>
      <c r="O250" s="36" t="s">
        <v>482</v>
      </c>
      <c r="P250" s="36" t="s">
        <v>734</v>
      </c>
      <c r="Q250" s="191" t="b">
        <v>1</v>
      </c>
      <c r="R250" s="191" t="s">
        <v>737</v>
      </c>
    </row>
    <row r="251" spans="1:19">
      <c r="A251" s="36">
        <v>62</v>
      </c>
      <c r="B251" s="38">
        <v>44819</v>
      </c>
      <c r="C251" s="36" t="s">
        <v>387</v>
      </c>
      <c r="D251" s="36" t="s">
        <v>727</v>
      </c>
      <c r="E251" s="36" t="s">
        <v>445</v>
      </c>
      <c r="F251" s="36" t="s">
        <v>106</v>
      </c>
      <c r="G251" s="36" t="s">
        <v>404</v>
      </c>
      <c r="H251" s="36">
        <v>3000</v>
      </c>
      <c r="I251" s="36">
        <v>3000</v>
      </c>
      <c r="J251" s="36">
        <f t="shared" si="22"/>
        <v>0</v>
      </c>
      <c r="K251" s="37">
        <v>0.4</v>
      </c>
      <c r="L251" s="36">
        <f t="shared" si="23"/>
        <v>1200</v>
      </c>
      <c r="M251" s="36">
        <f t="shared" si="20"/>
        <v>0</v>
      </c>
      <c r="N251" s="38">
        <v>44834</v>
      </c>
      <c r="O251" s="36" t="s">
        <v>482</v>
      </c>
      <c r="P251" s="36" t="s">
        <v>734</v>
      </c>
      <c r="Q251" s="191" t="b">
        <v>1</v>
      </c>
      <c r="R251" s="191" t="s">
        <v>737</v>
      </c>
    </row>
    <row r="252" spans="1:19">
      <c r="A252" s="36">
        <v>62</v>
      </c>
      <c r="B252" s="38">
        <v>44819</v>
      </c>
      <c r="C252" s="36" t="s">
        <v>387</v>
      </c>
      <c r="D252" s="36" t="s">
        <v>724</v>
      </c>
      <c r="E252" s="36" t="s">
        <v>446</v>
      </c>
      <c r="F252" s="36" t="s">
        <v>185</v>
      </c>
      <c r="G252" s="36" t="s">
        <v>662</v>
      </c>
      <c r="H252" s="36">
        <v>0</v>
      </c>
      <c r="I252" s="36">
        <v>13500</v>
      </c>
      <c r="J252" s="36">
        <f t="shared" si="22"/>
        <v>-13500</v>
      </c>
      <c r="K252" s="37">
        <v>0.4</v>
      </c>
      <c r="L252" s="36">
        <f t="shared" si="23"/>
        <v>5400</v>
      </c>
      <c r="M252" s="36">
        <f t="shared" si="20"/>
        <v>-5400</v>
      </c>
      <c r="N252" s="38">
        <v>44834</v>
      </c>
      <c r="O252" s="36" t="s">
        <v>482</v>
      </c>
      <c r="P252" s="36" t="s">
        <v>734</v>
      </c>
      <c r="Q252" s="191" t="b">
        <v>1</v>
      </c>
      <c r="R252" s="191" t="s">
        <v>737</v>
      </c>
    </row>
    <row r="253" spans="1:19">
      <c r="A253" s="36">
        <v>62</v>
      </c>
      <c r="B253" s="38">
        <v>44819</v>
      </c>
      <c r="C253" s="36" t="s">
        <v>387</v>
      </c>
      <c r="D253" s="36" t="s">
        <v>728</v>
      </c>
      <c r="E253" s="36" t="s">
        <v>663</v>
      </c>
      <c r="F253" s="36" t="s">
        <v>106</v>
      </c>
      <c r="G253" s="36" t="s">
        <v>123</v>
      </c>
      <c r="H253" s="36">
        <v>98000</v>
      </c>
      <c r="I253" s="36">
        <v>20000</v>
      </c>
      <c r="J253" s="36">
        <f t="shared" si="22"/>
        <v>78000</v>
      </c>
      <c r="K253" s="37">
        <v>0.4</v>
      </c>
      <c r="L253" s="36">
        <f t="shared" si="23"/>
        <v>8000</v>
      </c>
      <c r="M253" s="36">
        <f t="shared" si="20"/>
        <v>31200</v>
      </c>
      <c r="N253" s="38">
        <v>44834</v>
      </c>
      <c r="O253" s="36" t="s">
        <v>482</v>
      </c>
      <c r="P253" s="36" t="s">
        <v>734</v>
      </c>
      <c r="Q253" s="191" t="b">
        <v>1</v>
      </c>
      <c r="R253" s="191" t="s">
        <v>737</v>
      </c>
    </row>
    <row r="254" spans="1:19">
      <c r="A254" s="36">
        <v>62</v>
      </c>
      <c r="B254" s="38">
        <v>44820</v>
      </c>
      <c r="C254" s="36" t="s">
        <v>387</v>
      </c>
      <c r="D254" s="36" t="s">
        <v>727</v>
      </c>
      <c r="E254" s="36" t="s">
        <v>393</v>
      </c>
      <c r="F254" s="36" t="s">
        <v>106</v>
      </c>
      <c r="G254" s="36" t="s">
        <v>664</v>
      </c>
      <c r="H254" s="36">
        <v>19000</v>
      </c>
      <c r="I254" s="36">
        <v>4000</v>
      </c>
      <c r="J254" s="36">
        <f t="shared" si="22"/>
        <v>15000</v>
      </c>
      <c r="K254" s="37">
        <v>0.4</v>
      </c>
      <c r="L254" s="36">
        <f t="shared" si="23"/>
        <v>1600</v>
      </c>
      <c r="M254" s="36">
        <f t="shared" si="20"/>
        <v>6000</v>
      </c>
      <c r="N254" s="38">
        <v>44834</v>
      </c>
      <c r="O254" s="36" t="s">
        <v>482</v>
      </c>
      <c r="P254" s="36" t="s">
        <v>734</v>
      </c>
      <c r="Q254" s="191" t="b">
        <v>1</v>
      </c>
      <c r="R254" s="191" t="s">
        <v>737</v>
      </c>
    </row>
    <row r="255" spans="1:19">
      <c r="A255" s="36">
        <v>62</v>
      </c>
      <c r="B255" s="38">
        <v>44820</v>
      </c>
      <c r="C255" s="36" t="s">
        <v>387</v>
      </c>
      <c r="D255" s="36" t="s">
        <v>724</v>
      </c>
      <c r="E255" s="36" t="s">
        <v>431</v>
      </c>
      <c r="F255" s="36" t="s">
        <v>111</v>
      </c>
      <c r="G255" s="36" t="s">
        <v>449</v>
      </c>
      <c r="H255" s="36">
        <v>1790</v>
      </c>
      <c r="I255" s="36">
        <v>1790</v>
      </c>
      <c r="J255" s="36">
        <f t="shared" si="22"/>
        <v>0</v>
      </c>
      <c r="K255" s="37">
        <v>0.4</v>
      </c>
      <c r="L255" s="36">
        <f t="shared" si="23"/>
        <v>716</v>
      </c>
      <c r="M255" s="36">
        <f t="shared" si="20"/>
        <v>0</v>
      </c>
      <c r="N255" s="38">
        <v>44834</v>
      </c>
      <c r="O255" s="36" t="s">
        <v>482</v>
      </c>
      <c r="P255" s="36" t="s">
        <v>734</v>
      </c>
      <c r="Q255" s="191" t="b">
        <v>1</v>
      </c>
      <c r="R255" s="191" t="s">
        <v>737</v>
      </c>
    </row>
    <row r="256" spans="1:19">
      <c r="A256" s="36">
        <v>62</v>
      </c>
      <c r="B256" s="38">
        <v>44820</v>
      </c>
      <c r="C256" s="36" t="s">
        <v>387</v>
      </c>
      <c r="D256" s="36" t="s">
        <v>725</v>
      </c>
      <c r="E256" s="36" t="s">
        <v>390</v>
      </c>
      <c r="F256" s="36" t="s">
        <v>106</v>
      </c>
      <c r="G256" s="36" t="s">
        <v>665</v>
      </c>
      <c r="H256" s="36">
        <v>26780</v>
      </c>
      <c r="I256" s="36">
        <v>10080</v>
      </c>
      <c r="J256" s="36">
        <f t="shared" si="22"/>
        <v>16700</v>
      </c>
      <c r="K256" s="37">
        <v>0.4</v>
      </c>
      <c r="L256" s="36">
        <f t="shared" si="23"/>
        <v>4032</v>
      </c>
      <c r="M256" s="36">
        <f t="shared" si="20"/>
        <v>6680</v>
      </c>
      <c r="N256" s="38">
        <v>44834</v>
      </c>
      <c r="O256" s="36" t="s">
        <v>482</v>
      </c>
      <c r="P256" s="36" t="s">
        <v>734</v>
      </c>
      <c r="Q256" s="191" t="b">
        <v>1</v>
      </c>
      <c r="R256" s="191" t="s">
        <v>737</v>
      </c>
    </row>
    <row r="257" spans="1:18">
      <c r="A257" s="36">
        <v>62</v>
      </c>
      <c r="B257" s="38">
        <v>44820</v>
      </c>
      <c r="C257" s="36" t="s">
        <v>387</v>
      </c>
      <c r="D257" s="36" t="s">
        <v>719</v>
      </c>
      <c r="E257" s="36" t="s">
        <v>461</v>
      </c>
      <c r="F257" s="36" t="s">
        <v>111</v>
      </c>
      <c r="G257" s="36" t="s">
        <v>666</v>
      </c>
      <c r="H257" s="36">
        <v>6900</v>
      </c>
      <c r="I257" s="36">
        <v>6900</v>
      </c>
      <c r="J257" s="36">
        <f t="shared" si="22"/>
        <v>0</v>
      </c>
      <c r="K257" s="37">
        <v>0.4</v>
      </c>
      <c r="L257" s="36">
        <f t="shared" si="23"/>
        <v>2760</v>
      </c>
      <c r="M257" s="36">
        <f t="shared" si="20"/>
        <v>0</v>
      </c>
      <c r="N257" s="38">
        <v>44834</v>
      </c>
      <c r="O257" s="36" t="s">
        <v>482</v>
      </c>
      <c r="P257" s="36" t="s">
        <v>734</v>
      </c>
      <c r="Q257" s="191" t="b">
        <v>1</v>
      </c>
      <c r="R257" s="191" t="s">
        <v>737</v>
      </c>
    </row>
    <row r="258" spans="1:18">
      <c r="A258" s="36">
        <v>62</v>
      </c>
      <c r="B258" s="38">
        <v>44820</v>
      </c>
      <c r="C258" s="36" t="s">
        <v>387</v>
      </c>
      <c r="D258" s="36" t="s">
        <v>722</v>
      </c>
      <c r="E258" s="36" t="s">
        <v>667</v>
      </c>
      <c r="F258" s="36" t="s">
        <v>106</v>
      </c>
      <c r="G258" s="36" t="s">
        <v>417</v>
      </c>
      <c r="H258" s="36">
        <v>10320</v>
      </c>
      <c r="I258" s="36">
        <v>10320</v>
      </c>
      <c r="J258" s="36">
        <f t="shared" si="22"/>
        <v>0</v>
      </c>
      <c r="K258" s="37">
        <v>0.4</v>
      </c>
      <c r="L258" s="36">
        <f t="shared" si="23"/>
        <v>4128</v>
      </c>
      <c r="M258" s="36">
        <f t="shared" si="20"/>
        <v>0</v>
      </c>
      <c r="N258" s="38">
        <v>44834</v>
      </c>
      <c r="O258" s="36" t="s">
        <v>482</v>
      </c>
      <c r="P258" s="36" t="s">
        <v>734</v>
      </c>
      <c r="Q258" s="191" t="b">
        <v>1</v>
      </c>
      <c r="R258" s="191" t="s">
        <v>737</v>
      </c>
    </row>
    <row r="259" spans="1:18">
      <c r="A259" s="36">
        <v>62</v>
      </c>
      <c r="B259" s="38">
        <v>44821</v>
      </c>
      <c r="C259" s="36" t="s">
        <v>387</v>
      </c>
      <c r="D259" s="36" t="s">
        <v>724</v>
      </c>
      <c r="E259" s="36" t="s">
        <v>616</v>
      </c>
      <c r="F259" s="36" t="s">
        <v>111</v>
      </c>
      <c r="G259" s="36" t="s">
        <v>668</v>
      </c>
      <c r="H259" s="36">
        <v>1980</v>
      </c>
      <c r="I259" s="36">
        <v>1980</v>
      </c>
      <c r="J259" s="36">
        <f t="shared" si="22"/>
        <v>0</v>
      </c>
      <c r="K259" s="37">
        <v>0.4</v>
      </c>
      <c r="L259" s="36">
        <f t="shared" si="23"/>
        <v>792</v>
      </c>
      <c r="M259" s="36">
        <f t="shared" si="20"/>
        <v>0</v>
      </c>
      <c r="N259" s="38">
        <v>44834</v>
      </c>
      <c r="O259" s="36" t="s">
        <v>482</v>
      </c>
      <c r="P259" s="36" t="s">
        <v>734</v>
      </c>
      <c r="Q259" s="191" t="b">
        <v>1</v>
      </c>
      <c r="R259" s="191" t="s">
        <v>737</v>
      </c>
    </row>
    <row r="260" spans="1:18">
      <c r="A260" s="36">
        <v>62</v>
      </c>
      <c r="B260" s="38">
        <v>44821</v>
      </c>
      <c r="C260" s="36" t="s">
        <v>387</v>
      </c>
      <c r="D260" s="36" t="s">
        <v>724</v>
      </c>
      <c r="E260" s="36" t="s">
        <v>616</v>
      </c>
      <c r="F260" s="36" t="s">
        <v>185</v>
      </c>
      <c r="G260" s="36" t="s">
        <v>669</v>
      </c>
      <c r="H260" s="36">
        <v>0</v>
      </c>
      <c r="I260" s="36">
        <v>800</v>
      </c>
      <c r="J260" s="36">
        <f t="shared" si="22"/>
        <v>-800</v>
      </c>
      <c r="K260" s="37">
        <v>0.4</v>
      </c>
      <c r="L260" s="36">
        <f t="shared" si="23"/>
        <v>320</v>
      </c>
      <c r="M260" s="36">
        <f t="shared" si="20"/>
        <v>-320</v>
      </c>
      <c r="N260" s="38">
        <v>44834</v>
      </c>
      <c r="O260" s="36" t="s">
        <v>482</v>
      </c>
      <c r="P260" s="36" t="s">
        <v>734</v>
      </c>
      <c r="Q260" s="191" t="b">
        <v>1</v>
      </c>
      <c r="R260" s="191" t="s">
        <v>737</v>
      </c>
    </row>
    <row r="261" spans="1:18">
      <c r="A261" s="36">
        <v>62</v>
      </c>
      <c r="B261" s="38">
        <v>44821</v>
      </c>
      <c r="C261" s="36" t="s">
        <v>387</v>
      </c>
      <c r="D261" s="36" t="s">
        <v>724</v>
      </c>
      <c r="E261" s="36" t="s">
        <v>670</v>
      </c>
      <c r="F261" s="36" t="s">
        <v>106</v>
      </c>
      <c r="G261" s="36" t="s">
        <v>123</v>
      </c>
      <c r="H261" s="36">
        <v>23880</v>
      </c>
      <c r="I261" s="36">
        <v>23880</v>
      </c>
      <c r="J261" s="36">
        <f t="shared" si="22"/>
        <v>0</v>
      </c>
      <c r="K261" s="37">
        <v>0.4</v>
      </c>
      <c r="L261" s="36">
        <f t="shared" si="23"/>
        <v>9552</v>
      </c>
      <c r="M261" s="36">
        <f t="shared" si="20"/>
        <v>0</v>
      </c>
      <c r="N261" s="38">
        <v>44834</v>
      </c>
      <c r="O261" s="36" t="s">
        <v>482</v>
      </c>
      <c r="P261" s="36" t="s">
        <v>734</v>
      </c>
      <c r="Q261" s="191" t="b">
        <v>1</v>
      </c>
      <c r="R261" s="191" t="s">
        <v>737</v>
      </c>
    </row>
    <row r="262" spans="1:18">
      <c r="A262" s="36">
        <v>62</v>
      </c>
      <c r="B262" s="38">
        <v>44821</v>
      </c>
      <c r="C262" s="36" t="s">
        <v>387</v>
      </c>
      <c r="D262" s="36" t="s">
        <v>722</v>
      </c>
      <c r="E262" s="36" t="s">
        <v>671</v>
      </c>
      <c r="F262" s="36" t="s">
        <v>106</v>
      </c>
      <c r="G262" s="36" t="s">
        <v>226</v>
      </c>
      <c r="H262" s="36">
        <v>14640</v>
      </c>
      <c r="I262" s="36">
        <v>14640</v>
      </c>
      <c r="J262" s="36">
        <f t="shared" si="22"/>
        <v>0</v>
      </c>
      <c r="K262" s="37">
        <v>0.4</v>
      </c>
      <c r="L262" s="36">
        <f t="shared" si="23"/>
        <v>5856</v>
      </c>
      <c r="M262" s="36">
        <f t="shared" si="20"/>
        <v>0</v>
      </c>
      <c r="N262" s="38">
        <v>44834</v>
      </c>
      <c r="O262" s="36" t="s">
        <v>482</v>
      </c>
      <c r="P262" s="36" t="s">
        <v>734</v>
      </c>
      <c r="Q262" s="191" t="b">
        <v>1</v>
      </c>
      <c r="R262" s="191" t="s">
        <v>737</v>
      </c>
    </row>
    <row r="263" spans="1:18">
      <c r="A263" s="36">
        <v>62</v>
      </c>
      <c r="B263" s="38">
        <v>44821</v>
      </c>
      <c r="C263" s="36" t="s">
        <v>387</v>
      </c>
      <c r="D263" s="36" t="s">
        <v>722</v>
      </c>
      <c r="E263" s="36" t="s">
        <v>671</v>
      </c>
      <c r="F263" s="36" t="s">
        <v>111</v>
      </c>
      <c r="G263" s="36" t="s">
        <v>668</v>
      </c>
      <c r="H263" s="36">
        <v>3980</v>
      </c>
      <c r="I263" s="36">
        <v>3980</v>
      </c>
      <c r="J263" s="36">
        <f t="shared" si="22"/>
        <v>0</v>
      </c>
      <c r="K263" s="37">
        <v>0.4</v>
      </c>
      <c r="L263" s="36">
        <f t="shared" si="23"/>
        <v>1592</v>
      </c>
      <c r="M263" s="36">
        <f t="shared" si="20"/>
        <v>0</v>
      </c>
      <c r="N263" s="38">
        <v>44834</v>
      </c>
      <c r="O263" s="36" t="s">
        <v>482</v>
      </c>
      <c r="P263" s="36" t="s">
        <v>734</v>
      </c>
      <c r="Q263" s="191" t="b">
        <v>1</v>
      </c>
      <c r="R263" s="191" t="s">
        <v>737</v>
      </c>
    </row>
    <row r="264" spans="1:18">
      <c r="A264" s="36">
        <v>62</v>
      </c>
      <c r="B264" s="38">
        <v>44822</v>
      </c>
      <c r="C264" s="36" t="s">
        <v>387</v>
      </c>
      <c r="D264" s="36" t="s">
        <v>725</v>
      </c>
      <c r="E264" s="36" t="s">
        <v>390</v>
      </c>
      <c r="F264" s="36" t="s">
        <v>185</v>
      </c>
      <c r="G264" s="36" t="s">
        <v>672</v>
      </c>
      <c r="H264" s="36">
        <v>0</v>
      </c>
      <c r="I264" s="36">
        <v>16700</v>
      </c>
      <c r="J264" s="36">
        <f t="shared" si="22"/>
        <v>-16700</v>
      </c>
      <c r="K264" s="37">
        <v>0.4</v>
      </c>
      <c r="L264" s="36">
        <f t="shared" si="23"/>
        <v>6680</v>
      </c>
      <c r="M264" s="36">
        <f t="shared" si="20"/>
        <v>-6680</v>
      </c>
      <c r="N264" s="38">
        <v>44834</v>
      </c>
      <c r="O264" s="36" t="s">
        <v>482</v>
      </c>
      <c r="P264" s="36" t="s">
        <v>734</v>
      </c>
      <c r="Q264" s="191" t="b">
        <v>1</v>
      </c>
      <c r="R264" s="191" t="s">
        <v>737</v>
      </c>
    </row>
    <row r="265" spans="1:18">
      <c r="A265" s="36">
        <v>62</v>
      </c>
      <c r="B265" s="38">
        <v>44822</v>
      </c>
      <c r="C265" s="36" t="s">
        <v>387</v>
      </c>
      <c r="D265" s="36" t="s">
        <v>725</v>
      </c>
      <c r="E265" s="36" t="s">
        <v>390</v>
      </c>
      <c r="F265" s="36" t="s">
        <v>673</v>
      </c>
      <c r="G265" s="36" t="s">
        <v>674</v>
      </c>
      <c r="H265" s="36">
        <v>1400</v>
      </c>
      <c r="I265" s="36">
        <v>1400</v>
      </c>
      <c r="J265" s="36">
        <f t="shared" si="22"/>
        <v>0</v>
      </c>
      <c r="K265" s="37">
        <v>0.4</v>
      </c>
      <c r="L265" s="36">
        <f t="shared" si="23"/>
        <v>560</v>
      </c>
      <c r="M265" s="36">
        <f t="shared" si="20"/>
        <v>0</v>
      </c>
      <c r="N265" s="38">
        <v>44834</v>
      </c>
      <c r="O265" s="36" t="s">
        <v>482</v>
      </c>
      <c r="P265" s="36" t="s">
        <v>734</v>
      </c>
      <c r="Q265" s="191" t="b">
        <v>1</v>
      </c>
      <c r="R265" s="191" t="s">
        <v>737</v>
      </c>
    </row>
    <row r="266" spans="1:18">
      <c r="A266" s="36">
        <v>62</v>
      </c>
      <c r="B266" s="38">
        <v>44822</v>
      </c>
      <c r="C266" s="36" t="s">
        <v>387</v>
      </c>
      <c r="D266" s="36" t="s">
        <v>725</v>
      </c>
      <c r="E266" s="36" t="s">
        <v>399</v>
      </c>
      <c r="F266" s="36" t="s">
        <v>111</v>
      </c>
      <c r="G266" s="36" t="s">
        <v>675</v>
      </c>
      <c r="H266" s="36">
        <v>5800</v>
      </c>
      <c r="I266" s="36">
        <v>5800</v>
      </c>
      <c r="J266" s="36">
        <f t="shared" si="22"/>
        <v>0</v>
      </c>
      <c r="K266" s="37">
        <v>0.4</v>
      </c>
      <c r="L266" s="36">
        <f t="shared" si="23"/>
        <v>2320</v>
      </c>
      <c r="M266" s="36">
        <f t="shared" si="20"/>
        <v>0</v>
      </c>
      <c r="N266" s="38">
        <v>44834</v>
      </c>
      <c r="O266" s="36" t="s">
        <v>482</v>
      </c>
      <c r="P266" s="36" t="s">
        <v>734</v>
      </c>
      <c r="Q266" s="191" t="b">
        <v>1</v>
      </c>
      <c r="R266" s="191" t="s">
        <v>737</v>
      </c>
    </row>
    <row r="267" spans="1:18">
      <c r="A267" s="36">
        <v>62</v>
      </c>
      <c r="B267" s="38">
        <v>44822</v>
      </c>
      <c r="C267" s="36" t="s">
        <v>387</v>
      </c>
      <c r="D267" s="36" t="s">
        <v>725</v>
      </c>
      <c r="E267" s="36" t="s">
        <v>676</v>
      </c>
      <c r="F267" s="36" t="s">
        <v>106</v>
      </c>
      <c r="G267" s="36" t="s">
        <v>226</v>
      </c>
      <c r="H267" s="36">
        <v>20640</v>
      </c>
      <c r="I267" s="36">
        <v>20640</v>
      </c>
      <c r="J267" s="36">
        <f t="shared" ref="J267:J298" si="24">H267-I267</f>
        <v>0</v>
      </c>
      <c r="K267" s="37">
        <v>0.4</v>
      </c>
      <c r="L267" s="36">
        <f t="shared" si="23"/>
        <v>8256</v>
      </c>
      <c r="M267" s="36">
        <f t="shared" si="20"/>
        <v>0</v>
      </c>
      <c r="N267" s="38">
        <v>44834</v>
      </c>
      <c r="O267" s="36" t="s">
        <v>482</v>
      </c>
      <c r="P267" s="36" t="s">
        <v>734</v>
      </c>
      <c r="Q267" s="191" t="b">
        <v>1</v>
      </c>
      <c r="R267" s="191" t="s">
        <v>737</v>
      </c>
    </row>
    <row r="268" spans="1:18">
      <c r="A268" s="36">
        <v>62</v>
      </c>
      <c r="B268" s="38">
        <v>44822</v>
      </c>
      <c r="C268" s="36" t="s">
        <v>387</v>
      </c>
      <c r="D268" s="36" t="s">
        <v>725</v>
      </c>
      <c r="E268" s="36" t="s">
        <v>677</v>
      </c>
      <c r="F268" s="36" t="s">
        <v>106</v>
      </c>
      <c r="G268" s="36" t="s">
        <v>404</v>
      </c>
      <c r="H268" s="36">
        <v>6880</v>
      </c>
      <c r="I268" s="36">
        <v>6880</v>
      </c>
      <c r="J268" s="36">
        <f t="shared" si="24"/>
        <v>0</v>
      </c>
      <c r="K268" s="37">
        <v>0.4</v>
      </c>
      <c r="L268" s="36">
        <f t="shared" si="23"/>
        <v>2752</v>
      </c>
      <c r="M268" s="36">
        <f t="shared" si="20"/>
        <v>0</v>
      </c>
      <c r="N268" s="38">
        <v>44834</v>
      </c>
      <c r="O268" s="36" t="s">
        <v>482</v>
      </c>
      <c r="P268" s="36" t="s">
        <v>734</v>
      </c>
      <c r="Q268" s="191" t="b">
        <v>1</v>
      </c>
      <c r="R268" s="191" t="s">
        <v>737</v>
      </c>
    </row>
    <row r="269" spans="1:18">
      <c r="A269" s="36">
        <v>62</v>
      </c>
      <c r="B269" s="38">
        <v>44822</v>
      </c>
      <c r="C269" s="36" t="s">
        <v>387</v>
      </c>
      <c r="D269" s="36" t="s">
        <v>719</v>
      </c>
      <c r="E269" s="36" t="s">
        <v>472</v>
      </c>
      <c r="F269" s="36" t="s">
        <v>106</v>
      </c>
      <c r="G269" s="36" t="s">
        <v>678</v>
      </c>
      <c r="H269" s="36">
        <v>15000</v>
      </c>
      <c r="I269" s="36">
        <v>15000</v>
      </c>
      <c r="J269" s="36">
        <f t="shared" si="24"/>
        <v>0</v>
      </c>
      <c r="K269" s="37">
        <v>0.4</v>
      </c>
      <c r="L269" s="36">
        <f t="shared" ref="L269:L300" si="25">I269*K269</f>
        <v>6000</v>
      </c>
      <c r="M269" s="36">
        <f t="shared" si="20"/>
        <v>0</v>
      </c>
      <c r="N269" s="38">
        <v>44834</v>
      </c>
      <c r="O269" s="36" t="s">
        <v>482</v>
      </c>
      <c r="P269" s="36" t="s">
        <v>734</v>
      </c>
      <c r="Q269" s="191" t="b">
        <v>1</v>
      </c>
      <c r="R269" s="191" t="s">
        <v>737</v>
      </c>
    </row>
    <row r="270" spans="1:18">
      <c r="A270" s="36">
        <v>62</v>
      </c>
      <c r="B270" s="38">
        <v>44822</v>
      </c>
      <c r="C270" s="36" t="s">
        <v>387</v>
      </c>
      <c r="D270" s="36" t="s">
        <v>722</v>
      </c>
      <c r="E270" s="36" t="s">
        <v>473</v>
      </c>
      <c r="F270" s="36" t="s">
        <v>185</v>
      </c>
      <c r="G270" s="36" t="s">
        <v>679</v>
      </c>
      <c r="H270" s="36">
        <v>0</v>
      </c>
      <c r="I270" s="36">
        <v>17000</v>
      </c>
      <c r="J270" s="36">
        <f t="shared" si="24"/>
        <v>-17000</v>
      </c>
      <c r="K270" s="37">
        <v>0.4</v>
      </c>
      <c r="L270" s="36">
        <f t="shared" si="25"/>
        <v>6800</v>
      </c>
      <c r="M270" s="36">
        <f t="shared" si="20"/>
        <v>-6800</v>
      </c>
      <c r="N270" s="38">
        <v>44834</v>
      </c>
      <c r="O270" s="36" t="s">
        <v>482</v>
      </c>
      <c r="P270" s="36" t="s">
        <v>734</v>
      </c>
      <c r="Q270" s="191" t="b">
        <v>1</v>
      </c>
      <c r="R270" s="191" t="s">
        <v>737</v>
      </c>
    </row>
    <row r="271" spans="1:18">
      <c r="A271" s="36">
        <v>62</v>
      </c>
      <c r="B271" s="38">
        <v>44823</v>
      </c>
      <c r="C271" s="36" t="s">
        <v>387</v>
      </c>
      <c r="D271" s="36" t="s">
        <v>723</v>
      </c>
      <c r="E271" s="36" t="s">
        <v>680</v>
      </c>
      <c r="F271" s="36" t="s">
        <v>603</v>
      </c>
      <c r="G271" s="36" t="s">
        <v>681</v>
      </c>
      <c r="H271" s="36">
        <v>8560</v>
      </c>
      <c r="I271" s="36">
        <v>1680</v>
      </c>
      <c r="J271" s="36">
        <f t="shared" si="24"/>
        <v>6880</v>
      </c>
      <c r="K271" s="37">
        <v>0.4</v>
      </c>
      <c r="L271" s="36">
        <f t="shared" si="25"/>
        <v>672</v>
      </c>
      <c r="M271" s="36">
        <f t="shared" si="20"/>
        <v>2752</v>
      </c>
      <c r="N271" s="38">
        <v>44834</v>
      </c>
      <c r="O271" s="36" t="s">
        <v>482</v>
      </c>
      <c r="P271" s="36" t="s">
        <v>734</v>
      </c>
      <c r="Q271" s="191" t="b">
        <v>1</v>
      </c>
      <c r="R271" s="191" t="s">
        <v>737</v>
      </c>
    </row>
    <row r="272" spans="1:18">
      <c r="A272" s="36">
        <v>62</v>
      </c>
      <c r="B272" s="38">
        <v>44823</v>
      </c>
      <c r="C272" s="36" t="s">
        <v>387</v>
      </c>
      <c r="D272" s="36" t="s">
        <v>729</v>
      </c>
      <c r="E272" s="36" t="s">
        <v>682</v>
      </c>
      <c r="F272" s="36" t="s">
        <v>106</v>
      </c>
      <c r="G272" s="36" t="s">
        <v>228</v>
      </c>
      <c r="H272" s="36">
        <v>27520</v>
      </c>
      <c r="I272" s="36">
        <v>27520</v>
      </c>
      <c r="J272" s="36">
        <f t="shared" si="24"/>
        <v>0</v>
      </c>
      <c r="K272" s="37">
        <v>0.4</v>
      </c>
      <c r="L272" s="36">
        <f t="shared" si="25"/>
        <v>11008</v>
      </c>
      <c r="M272" s="36">
        <f t="shared" si="20"/>
        <v>0</v>
      </c>
      <c r="N272" s="38">
        <v>44834</v>
      </c>
      <c r="O272" s="36" t="s">
        <v>482</v>
      </c>
      <c r="P272" s="36" t="s">
        <v>734</v>
      </c>
      <c r="Q272" s="191" t="b">
        <v>1</v>
      </c>
      <c r="R272" s="191" t="s">
        <v>737</v>
      </c>
    </row>
    <row r="273" spans="1:19">
      <c r="A273" s="36">
        <v>62</v>
      </c>
      <c r="B273" s="38">
        <v>44824</v>
      </c>
      <c r="C273" s="36" t="s">
        <v>387</v>
      </c>
      <c r="D273" s="36" t="s">
        <v>729</v>
      </c>
      <c r="E273" s="36" t="s">
        <v>452</v>
      </c>
      <c r="F273" s="36" t="s">
        <v>106</v>
      </c>
      <c r="G273" s="36" t="s">
        <v>404</v>
      </c>
      <c r="H273" s="36">
        <v>4907</v>
      </c>
      <c r="I273" s="36">
        <v>4907</v>
      </c>
      <c r="J273" s="36">
        <f t="shared" si="24"/>
        <v>0</v>
      </c>
      <c r="K273" s="37">
        <v>0.4</v>
      </c>
      <c r="L273" s="36">
        <f t="shared" si="25"/>
        <v>1962.8000000000002</v>
      </c>
      <c r="M273" s="36">
        <f t="shared" si="20"/>
        <v>0</v>
      </c>
      <c r="N273" s="38">
        <v>44834</v>
      </c>
      <c r="O273" s="36" t="s">
        <v>482</v>
      </c>
      <c r="P273" s="36" t="s">
        <v>734</v>
      </c>
      <c r="Q273" s="191" t="b">
        <v>1</v>
      </c>
      <c r="R273" s="191" t="s">
        <v>737</v>
      </c>
    </row>
    <row r="274" spans="1:19">
      <c r="A274" s="36">
        <v>62</v>
      </c>
      <c r="B274" s="38">
        <v>44824</v>
      </c>
      <c r="C274" s="36" t="s">
        <v>387</v>
      </c>
      <c r="D274" s="36" t="s">
        <v>730</v>
      </c>
      <c r="E274" s="36" t="s">
        <v>499</v>
      </c>
      <c r="F274" s="36" t="s">
        <v>111</v>
      </c>
      <c r="G274" s="36" t="s">
        <v>683</v>
      </c>
      <c r="H274" s="36">
        <v>33600</v>
      </c>
      <c r="I274" s="36">
        <v>33600</v>
      </c>
      <c r="J274" s="36">
        <f t="shared" si="24"/>
        <v>0</v>
      </c>
      <c r="K274" s="37">
        <v>0.4</v>
      </c>
      <c r="L274" s="36">
        <f t="shared" si="25"/>
        <v>13440</v>
      </c>
      <c r="M274" s="36">
        <f t="shared" si="20"/>
        <v>0</v>
      </c>
      <c r="N274" s="38">
        <v>44834</v>
      </c>
      <c r="O274" s="36" t="s">
        <v>482</v>
      </c>
      <c r="P274" s="36" t="s">
        <v>734</v>
      </c>
      <c r="Q274" s="191" t="b">
        <v>1</v>
      </c>
      <c r="R274" s="191" t="s">
        <v>737</v>
      </c>
    </row>
    <row r="275" spans="1:19">
      <c r="A275" s="36">
        <v>62</v>
      </c>
      <c r="B275" s="38">
        <v>44824</v>
      </c>
      <c r="C275" s="36" t="s">
        <v>387</v>
      </c>
      <c r="D275" s="36" t="s">
        <v>730</v>
      </c>
      <c r="E275" s="36" t="s">
        <v>502</v>
      </c>
      <c r="F275" s="36" t="s">
        <v>106</v>
      </c>
      <c r="G275" s="36" t="s">
        <v>684</v>
      </c>
      <c r="H275" s="36">
        <v>19920</v>
      </c>
      <c r="I275" s="36">
        <v>19920</v>
      </c>
      <c r="J275" s="36">
        <f t="shared" si="24"/>
        <v>0</v>
      </c>
      <c r="K275" s="37">
        <v>0.4</v>
      </c>
      <c r="L275" s="36">
        <f t="shared" si="25"/>
        <v>7968</v>
      </c>
      <c r="M275" s="36">
        <f t="shared" si="20"/>
        <v>0</v>
      </c>
      <c r="N275" s="38">
        <v>44834</v>
      </c>
      <c r="O275" s="36" t="s">
        <v>482</v>
      </c>
      <c r="P275" s="36" t="s">
        <v>734</v>
      </c>
      <c r="Q275" s="191" t="b">
        <v>1</v>
      </c>
      <c r="R275" s="191" t="s">
        <v>737</v>
      </c>
    </row>
    <row r="276" spans="1:19">
      <c r="A276" s="36">
        <v>62</v>
      </c>
      <c r="B276" s="38">
        <v>44829</v>
      </c>
      <c r="C276" s="36" t="s">
        <v>387</v>
      </c>
      <c r="D276" s="36" t="s">
        <v>721</v>
      </c>
      <c r="E276" s="36" t="s">
        <v>685</v>
      </c>
      <c r="F276" s="36" t="s">
        <v>106</v>
      </c>
      <c r="G276" s="36" t="s">
        <v>226</v>
      </c>
      <c r="H276" s="36">
        <v>11940</v>
      </c>
      <c r="I276" s="36">
        <v>11940</v>
      </c>
      <c r="J276" s="36">
        <f t="shared" si="24"/>
        <v>0</v>
      </c>
      <c r="K276" s="37">
        <v>0.4</v>
      </c>
      <c r="L276" s="36">
        <f t="shared" si="25"/>
        <v>4776</v>
      </c>
      <c r="M276" s="36">
        <f t="shared" si="20"/>
        <v>0</v>
      </c>
      <c r="N276" s="38">
        <v>44834</v>
      </c>
      <c r="O276" s="36" t="s">
        <v>482</v>
      </c>
      <c r="P276" s="36" t="s">
        <v>734</v>
      </c>
      <c r="Q276" s="191" t="b">
        <v>1</v>
      </c>
      <c r="R276" s="191" t="s">
        <v>737</v>
      </c>
    </row>
    <row r="277" spans="1:19">
      <c r="A277" s="36">
        <v>62</v>
      </c>
      <c r="B277" s="38">
        <v>44830</v>
      </c>
      <c r="C277" s="36" t="s">
        <v>387</v>
      </c>
      <c r="D277" s="36" t="s">
        <v>721</v>
      </c>
      <c r="E277" s="36" t="s">
        <v>468</v>
      </c>
      <c r="F277" s="36" t="s">
        <v>106</v>
      </c>
      <c r="G277" s="36" t="s">
        <v>686</v>
      </c>
      <c r="H277" s="36">
        <v>34800</v>
      </c>
      <c r="I277" s="36">
        <v>34800</v>
      </c>
      <c r="J277" s="36">
        <f t="shared" si="24"/>
        <v>0</v>
      </c>
      <c r="K277" s="37">
        <v>0.4</v>
      </c>
      <c r="L277" s="36">
        <f t="shared" si="25"/>
        <v>13920</v>
      </c>
      <c r="M277" s="36">
        <f t="shared" si="20"/>
        <v>0</v>
      </c>
      <c r="N277" s="38">
        <v>44834</v>
      </c>
      <c r="O277" s="36" t="s">
        <v>482</v>
      </c>
      <c r="P277" s="36" t="s">
        <v>734</v>
      </c>
      <c r="Q277" s="191" t="b">
        <v>1</v>
      </c>
      <c r="R277" s="191" t="s">
        <v>737</v>
      </c>
    </row>
    <row r="278" spans="1:19">
      <c r="A278" s="36">
        <v>62</v>
      </c>
      <c r="B278" s="38">
        <v>44831</v>
      </c>
      <c r="C278" s="36" t="s">
        <v>387</v>
      </c>
      <c r="D278" s="36" t="s">
        <v>721</v>
      </c>
      <c r="E278" s="36" t="s">
        <v>504</v>
      </c>
      <c r="F278" s="36" t="s">
        <v>106</v>
      </c>
      <c r="G278" s="36" t="s">
        <v>687</v>
      </c>
      <c r="H278" s="36">
        <v>69000</v>
      </c>
      <c r="I278" s="36">
        <v>69000</v>
      </c>
      <c r="J278" s="36">
        <f t="shared" si="24"/>
        <v>0</v>
      </c>
      <c r="K278" s="37">
        <v>0.4</v>
      </c>
      <c r="L278" s="36">
        <f t="shared" si="25"/>
        <v>27600</v>
      </c>
      <c r="M278" s="36">
        <f t="shared" si="20"/>
        <v>0</v>
      </c>
      <c r="N278" s="38">
        <v>44834</v>
      </c>
      <c r="O278" s="36" t="s">
        <v>482</v>
      </c>
      <c r="P278" s="36" t="s">
        <v>734</v>
      </c>
      <c r="Q278" s="191" t="b">
        <v>1</v>
      </c>
      <c r="R278" s="191" t="s">
        <v>737</v>
      </c>
    </row>
    <row r="279" spans="1:19">
      <c r="A279" s="36">
        <v>62</v>
      </c>
      <c r="B279" s="38">
        <v>44831</v>
      </c>
      <c r="C279" s="36" t="s">
        <v>387</v>
      </c>
      <c r="D279" s="36" t="s">
        <v>721</v>
      </c>
      <c r="E279" s="36" t="s">
        <v>504</v>
      </c>
      <c r="F279" s="36" t="s">
        <v>111</v>
      </c>
      <c r="G279" s="36" t="s">
        <v>688</v>
      </c>
      <c r="H279" s="36">
        <v>3980</v>
      </c>
      <c r="I279" s="36">
        <v>3980</v>
      </c>
      <c r="J279" s="36">
        <f t="shared" si="24"/>
        <v>0</v>
      </c>
      <c r="K279" s="37">
        <v>0.4</v>
      </c>
      <c r="L279" s="36">
        <f t="shared" si="25"/>
        <v>1592</v>
      </c>
      <c r="M279" s="36">
        <f t="shared" ref="M279:M305" si="26">J279*K279</f>
        <v>0</v>
      </c>
      <c r="N279" s="38">
        <v>44834</v>
      </c>
      <c r="O279" s="36" t="s">
        <v>482</v>
      </c>
      <c r="P279" s="36" t="s">
        <v>734</v>
      </c>
      <c r="Q279" s="191" t="b">
        <v>1</v>
      </c>
      <c r="R279" s="191" t="s">
        <v>737</v>
      </c>
    </row>
    <row r="280" spans="1:19">
      <c r="A280" s="36">
        <v>62</v>
      </c>
      <c r="B280" s="38">
        <v>44831</v>
      </c>
      <c r="C280" s="36" t="s">
        <v>387</v>
      </c>
      <c r="D280" s="36" t="s">
        <v>725</v>
      </c>
      <c r="E280" s="36" t="s">
        <v>689</v>
      </c>
      <c r="F280" s="36" t="s">
        <v>324</v>
      </c>
      <c r="G280" s="36" t="s">
        <v>690</v>
      </c>
      <c r="H280" s="36">
        <v>3980</v>
      </c>
      <c r="I280" s="36">
        <v>3980</v>
      </c>
      <c r="J280" s="36">
        <f t="shared" si="24"/>
        <v>0</v>
      </c>
      <c r="K280" s="37">
        <v>0.4</v>
      </c>
      <c r="L280" s="36">
        <f t="shared" si="25"/>
        <v>1592</v>
      </c>
      <c r="M280" s="36">
        <f t="shared" si="26"/>
        <v>0</v>
      </c>
      <c r="N280" s="38">
        <v>44834</v>
      </c>
      <c r="O280" s="36" t="s">
        <v>482</v>
      </c>
      <c r="P280" s="36" t="s">
        <v>734</v>
      </c>
      <c r="Q280" s="191" t="b">
        <v>1</v>
      </c>
      <c r="R280" s="191" t="s">
        <v>737</v>
      </c>
    </row>
    <row r="281" spans="1:19">
      <c r="A281" s="36">
        <v>62</v>
      </c>
      <c r="B281" s="38">
        <v>44832</v>
      </c>
      <c r="C281" s="36" t="s">
        <v>387</v>
      </c>
      <c r="D281" s="36" t="s">
        <v>721</v>
      </c>
      <c r="E281" s="36" t="s">
        <v>602</v>
      </c>
      <c r="F281" s="36" t="s">
        <v>106</v>
      </c>
      <c r="G281" s="36" t="s">
        <v>690</v>
      </c>
      <c r="H281" s="36">
        <v>7980</v>
      </c>
      <c r="I281" s="36">
        <v>7980</v>
      </c>
      <c r="J281" s="36">
        <f t="shared" si="24"/>
        <v>0</v>
      </c>
      <c r="K281" s="37">
        <v>0.4</v>
      </c>
      <c r="L281" s="36">
        <f t="shared" si="25"/>
        <v>3192</v>
      </c>
      <c r="M281" s="36">
        <f t="shared" si="26"/>
        <v>0</v>
      </c>
      <c r="N281" s="38">
        <v>44834</v>
      </c>
      <c r="O281" s="36" t="s">
        <v>482</v>
      </c>
      <c r="P281" s="36" t="s">
        <v>734</v>
      </c>
      <c r="Q281" s="191" t="b">
        <v>1</v>
      </c>
      <c r="R281" s="191" t="s">
        <v>737</v>
      </c>
    </row>
    <row r="282" spans="1:19">
      <c r="A282" s="36">
        <v>62</v>
      </c>
      <c r="B282" s="38">
        <v>44832</v>
      </c>
      <c r="C282" s="36" t="s">
        <v>387</v>
      </c>
      <c r="D282" s="36" t="s">
        <v>725</v>
      </c>
      <c r="E282" s="36" t="s">
        <v>434</v>
      </c>
      <c r="F282" s="36" t="s">
        <v>106</v>
      </c>
      <c r="G282" s="36" t="s">
        <v>123</v>
      </c>
      <c r="H282" s="36">
        <v>29880</v>
      </c>
      <c r="I282" s="36">
        <v>29880</v>
      </c>
      <c r="J282" s="36">
        <f t="shared" si="24"/>
        <v>0</v>
      </c>
      <c r="K282" s="37">
        <v>0.4</v>
      </c>
      <c r="L282" s="36">
        <f t="shared" si="25"/>
        <v>11952</v>
      </c>
      <c r="M282" s="36">
        <f t="shared" si="26"/>
        <v>0</v>
      </c>
      <c r="N282" s="38">
        <v>44834</v>
      </c>
      <c r="O282" s="36" t="s">
        <v>482</v>
      </c>
      <c r="P282" s="36" t="s">
        <v>734</v>
      </c>
      <c r="Q282" s="191" t="b">
        <v>1</v>
      </c>
      <c r="R282" s="191" t="s">
        <v>737</v>
      </c>
    </row>
    <row r="283" spans="1:19">
      <c r="A283" s="36">
        <v>62</v>
      </c>
      <c r="B283" s="38">
        <v>44832</v>
      </c>
      <c r="C283" s="36" t="s">
        <v>387</v>
      </c>
      <c r="D283" s="36" t="s">
        <v>721</v>
      </c>
      <c r="E283" s="36" t="s">
        <v>691</v>
      </c>
      <c r="F283" s="36" t="s">
        <v>106</v>
      </c>
      <c r="G283" s="36" t="s">
        <v>692</v>
      </c>
      <c r="H283" s="36">
        <v>9900</v>
      </c>
      <c r="I283" s="36">
        <v>9900</v>
      </c>
      <c r="J283" s="36">
        <f t="shared" si="24"/>
        <v>0</v>
      </c>
      <c r="K283" s="37">
        <v>0.4</v>
      </c>
      <c r="L283" s="36">
        <f t="shared" si="25"/>
        <v>3960</v>
      </c>
      <c r="M283" s="36">
        <f t="shared" si="26"/>
        <v>0</v>
      </c>
      <c r="N283" s="38">
        <v>44834</v>
      </c>
      <c r="O283" s="36" t="s">
        <v>482</v>
      </c>
      <c r="P283" s="36" t="s">
        <v>734</v>
      </c>
      <c r="Q283" s="191" t="b">
        <v>1</v>
      </c>
      <c r="R283" s="191" t="s">
        <v>737</v>
      </c>
    </row>
    <row r="284" spans="1:19">
      <c r="A284" s="36">
        <v>62</v>
      </c>
      <c r="B284" s="38">
        <v>44833</v>
      </c>
      <c r="C284" s="36" t="s">
        <v>387</v>
      </c>
      <c r="D284" s="36" t="s">
        <v>730</v>
      </c>
      <c r="E284" s="36" t="s">
        <v>693</v>
      </c>
      <c r="F284" s="36" t="s">
        <v>106</v>
      </c>
      <c r="G284" s="36" t="s">
        <v>404</v>
      </c>
      <c r="H284" s="36">
        <v>3480</v>
      </c>
      <c r="I284" s="36">
        <v>3400</v>
      </c>
      <c r="J284" s="36">
        <f t="shared" si="24"/>
        <v>80</v>
      </c>
      <c r="K284" s="37">
        <v>0.4</v>
      </c>
      <c r="L284" s="36">
        <f t="shared" si="25"/>
        <v>1360</v>
      </c>
      <c r="M284" s="36">
        <f t="shared" si="26"/>
        <v>32</v>
      </c>
      <c r="N284" s="38">
        <v>44834</v>
      </c>
      <c r="O284" s="36" t="s">
        <v>482</v>
      </c>
      <c r="P284" s="36" t="s">
        <v>734</v>
      </c>
      <c r="Q284" s="191" t="b">
        <v>1</v>
      </c>
      <c r="R284" s="191" t="s">
        <v>737</v>
      </c>
    </row>
    <row r="285" spans="1:19">
      <c r="A285" s="36">
        <v>62</v>
      </c>
      <c r="B285" s="38">
        <v>44833</v>
      </c>
      <c r="C285" s="36" t="s">
        <v>387</v>
      </c>
      <c r="D285" s="36" t="s">
        <v>729</v>
      </c>
      <c r="E285" s="36" t="s">
        <v>405</v>
      </c>
      <c r="F285" s="36" t="s">
        <v>185</v>
      </c>
      <c r="G285" s="36" t="s">
        <v>607</v>
      </c>
      <c r="H285" s="36">
        <v>0</v>
      </c>
      <c r="I285" s="36">
        <v>5000</v>
      </c>
      <c r="J285" s="36">
        <f t="shared" si="24"/>
        <v>-5000</v>
      </c>
      <c r="K285" s="37">
        <v>0.4</v>
      </c>
      <c r="L285" s="36">
        <f t="shared" si="25"/>
        <v>2000</v>
      </c>
      <c r="M285" s="36">
        <f t="shared" si="26"/>
        <v>-2000</v>
      </c>
      <c r="N285" s="38">
        <v>44834</v>
      </c>
      <c r="O285" s="36" t="s">
        <v>482</v>
      </c>
      <c r="P285" s="36" t="s">
        <v>734</v>
      </c>
      <c r="Q285" s="191" t="b">
        <v>1</v>
      </c>
      <c r="R285" s="191" t="s">
        <v>737</v>
      </c>
    </row>
    <row r="286" spans="1:19">
      <c r="A286" s="36">
        <v>62</v>
      </c>
      <c r="B286" s="38">
        <v>44833</v>
      </c>
      <c r="C286" s="36" t="s">
        <v>387</v>
      </c>
      <c r="D286" s="36" t="s">
        <v>730</v>
      </c>
      <c r="E286" s="36" t="s">
        <v>499</v>
      </c>
      <c r="F286" s="36" t="s">
        <v>160</v>
      </c>
      <c r="G286" s="36" t="s">
        <v>160</v>
      </c>
      <c r="H286" s="36">
        <v>-56433</v>
      </c>
      <c r="I286" s="36">
        <v>-56433</v>
      </c>
      <c r="J286" s="36">
        <f t="shared" si="24"/>
        <v>0</v>
      </c>
      <c r="K286" s="37">
        <v>0.4</v>
      </c>
      <c r="L286" s="36">
        <f t="shared" si="25"/>
        <v>-22573.200000000001</v>
      </c>
      <c r="M286" s="36">
        <f t="shared" si="26"/>
        <v>0</v>
      </c>
      <c r="N286" s="38">
        <v>44834</v>
      </c>
      <c r="O286" s="36" t="s">
        <v>482</v>
      </c>
      <c r="P286" s="36" t="s">
        <v>734</v>
      </c>
      <c r="Q286" s="191" t="b">
        <v>1</v>
      </c>
      <c r="R286" s="191" t="s">
        <v>737</v>
      </c>
    </row>
    <row r="287" spans="1:19">
      <c r="A287" s="36">
        <v>62</v>
      </c>
      <c r="B287" s="38">
        <v>44834</v>
      </c>
      <c r="C287" s="36" t="s">
        <v>747</v>
      </c>
      <c r="D287" s="36" t="s">
        <v>747</v>
      </c>
      <c r="E287" s="36" t="s">
        <v>439</v>
      </c>
      <c r="F287" s="36" t="s">
        <v>106</v>
      </c>
      <c r="G287" s="36" t="s">
        <v>746</v>
      </c>
      <c r="H287" s="36">
        <v>39800</v>
      </c>
      <c r="I287" s="36">
        <v>36000</v>
      </c>
      <c r="J287" s="36">
        <f t="shared" si="24"/>
        <v>3800</v>
      </c>
      <c r="K287" s="37">
        <v>1</v>
      </c>
      <c r="L287" s="36">
        <f t="shared" si="25"/>
        <v>36000</v>
      </c>
      <c r="M287" s="36">
        <f t="shared" si="26"/>
        <v>3800</v>
      </c>
      <c r="N287" s="38">
        <v>44834</v>
      </c>
      <c r="O287" s="36" t="s">
        <v>439</v>
      </c>
      <c r="P287" s="36" t="s">
        <v>231</v>
      </c>
      <c r="Q287" s="191"/>
      <c r="R287" s="191" t="s">
        <v>586</v>
      </c>
    </row>
    <row r="288" spans="1:19">
      <c r="A288" s="36">
        <v>63</v>
      </c>
      <c r="B288" s="38">
        <v>44838</v>
      </c>
      <c r="C288" s="36" t="s">
        <v>714</v>
      </c>
      <c r="D288" s="36" t="s">
        <v>708</v>
      </c>
      <c r="E288" s="36" t="s">
        <v>562</v>
      </c>
      <c r="F288" s="36" t="s">
        <v>111</v>
      </c>
      <c r="G288" s="36" t="s">
        <v>695</v>
      </c>
      <c r="H288" s="36">
        <v>5000</v>
      </c>
      <c r="I288" s="36">
        <v>5000</v>
      </c>
      <c r="J288" s="36">
        <f t="shared" si="24"/>
        <v>0</v>
      </c>
      <c r="K288" s="37">
        <v>0.4</v>
      </c>
      <c r="L288" s="36">
        <f t="shared" si="25"/>
        <v>2000</v>
      </c>
      <c r="M288" s="36">
        <f t="shared" si="26"/>
        <v>0</v>
      </c>
      <c r="N288" s="38">
        <v>44839</v>
      </c>
      <c r="O288" s="36" t="s">
        <v>585</v>
      </c>
      <c r="P288" s="36" t="s">
        <v>231</v>
      </c>
      <c r="R288" s="191" t="s">
        <v>586</v>
      </c>
      <c r="S288" s="36" t="s">
        <v>586</v>
      </c>
    </row>
    <row r="289" spans="1:18">
      <c r="A289" s="36">
        <v>64</v>
      </c>
      <c r="B289" s="38">
        <v>44838</v>
      </c>
      <c r="C289" s="36" t="s">
        <v>493</v>
      </c>
      <c r="D289" s="36" t="s">
        <v>708</v>
      </c>
      <c r="E289" s="36" t="s">
        <v>131</v>
      </c>
      <c r="F289" s="36" t="s">
        <v>106</v>
      </c>
      <c r="G289" s="36" t="s">
        <v>696</v>
      </c>
      <c r="H289" s="36">
        <f>9900+3980</f>
        <v>13880</v>
      </c>
      <c r="I289" s="36">
        <v>13880</v>
      </c>
      <c r="J289" s="36">
        <f t="shared" si="24"/>
        <v>0</v>
      </c>
      <c r="K289" s="37">
        <v>0.375</v>
      </c>
      <c r="L289" s="36">
        <f t="shared" si="25"/>
        <v>5205</v>
      </c>
      <c r="M289" s="36">
        <f t="shared" si="26"/>
        <v>0</v>
      </c>
      <c r="N289" s="38">
        <v>44844</v>
      </c>
      <c r="O289" s="36" t="s">
        <v>220</v>
      </c>
      <c r="P289" s="36" t="s">
        <v>749</v>
      </c>
      <c r="Q289" s="191" t="b">
        <v>1</v>
      </c>
      <c r="R289" s="191" t="s">
        <v>737</v>
      </c>
    </row>
    <row r="290" spans="1:18">
      <c r="A290" s="36">
        <v>64</v>
      </c>
      <c r="B290" s="38">
        <v>44838</v>
      </c>
      <c r="C290" s="36" t="s">
        <v>493</v>
      </c>
      <c r="D290" s="36" t="s">
        <v>708</v>
      </c>
      <c r="E290" s="36" t="s">
        <v>131</v>
      </c>
      <c r="F290" s="36" t="s">
        <v>111</v>
      </c>
      <c r="G290" s="36" t="s">
        <v>697</v>
      </c>
      <c r="H290" s="36">
        <v>3980</v>
      </c>
      <c r="I290" s="36">
        <v>3980</v>
      </c>
      <c r="J290" s="36">
        <f t="shared" si="24"/>
        <v>0</v>
      </c>
      <c r="K290" s="37">
        <v>0.375</v>
      </c>
      <c r="L290" s="36">
        <f t="shared" si="25"/>
        <v>1492.5</v>
      </c>
      <c r="M290" s="36">
        <f t="shared" si="26"/>
        <v>0</v>
      </c>
      <c r="N290" s="38">
        <v>44844</v>
      </c>
      <c r="O290" s="36" t="s">
        <v>220</v>
      </c>
      <c r="P290" s="36" t="s">
        <v>749</v>
      </c>
      <c r="Q290" s="191" t="b">
        <v>1</v>
      </c>
      <c r="R290" s="191" t="s">
        <v>737</v>
      </c>
    </row>
    <row r="291" spans="1:18">
      <c r="A291" s="36">
        <v>64</v>
      </c>
      <c r="B291" s="38">
        <v>44841</v>
      </c>
      <c r="C291" s="36" t="s">
        <v>493</v>
      </c>
      <c r="D291" s="36" t="s">
        <v>709</v>
      </c>
      <c r="E291" s="36" t="s">
        <v>698</v>
      </c>
      <c r="F291" s="36" t="s">
        <v>111</v>
      </c>
      <c r="G291" s="36" t="s">
        <v>699</v>
      </c>
      <c r="H291" s="36">
        <v>990</v>
      </c>
      <c r="I291" s="36">
        <v>990</v>
      </c>
      <c r="J291" s="36">
        <f t="shared" si="24"/>
        <v>0</v>
      </c>
      <c r="K291" s="37">
        <v>0.375</v>
      </c>
      <c r="L291" s="36">
        <f t="shared" si="25"/>
        <v>371.25</v>
      </c>
      <c r="M291" s="36">
        <f t="shared" si="26"/>
        <v>0</v>
      </c>
      <c r="N291" s="38">
        <v>44844</v>
      </c>
      <c r="O291" s="36" t="s">
        <v>220</v>
      </c>
      <c r="P291" s="36" t="s">
        <v>749</v>
      </c>
      <c r="Q291" s="191" t="b">
        <v>1</v>
      </c>
      <c r="R291" s="191" t="s">
        <v>737</v>
      </c>
    </row>
    <row r="292" spans="1:18">
      <c r="A292" s="36">
        <v>65</v>
      </c>
      <c r="B292" s="38">
        <v>44847</v>
      </c>
      <c r="C292" s="36" t="s">
        <v>717</v>
      </c>
      <c r="D292" s="36" t="s">
        <v>712</v>
      </c>
      <c r="E292" s="36" t="s">
        <v>457</v>
      </c>
      <c r="F292" s="36" t="s">
        <v>603</v>
      </c>
      <c r="G292" s="36" t="s">
        <v>748</v>
      </c>
      <c r="H292" s="36">
        <f>9900+1376+600</f>
        <v>11876</v>
      </c>
      <c r="I292" s="36">
        <v>11876</v>
      </c>
      <c r="J292" s="36">
        <f t="shared" si="24"/>
        <v>0</v>
      </c>
      <c r="K292" s="37">
        <v>1</v>
      </c>
      <c r="L292" s="36">
        <f t="shared" si="25"/>
        <v>11876</v>
      </c>
      <c r="M292" s="36">
        <f t="shared" si="26"/>
        <v>0</v>
      </c>
      <c r="N292" s="38">
        <v>44849</v>
      </c>
      <c r="O292" s="36" t="s">
        <v>457</v>
      </c>
      <c r="P292" s="36" t="s">
        <v>231</v>
      </c>
      <c r="R292" s="191" t="s">
        <v>586</v>
      </c>
    </row>
    <row r="293" spans="1:18">
      <c r="A293" s="36">
        <v>66</v>
      </c>
      <c r="B293" s="38">
        <v>44847</v>
      </c>
      <c r="C293" s="36" t="s">
        <v>717</v>
      </c>
      <c r="D293" s="36" t="s">
        <v>712</v>
      </c>
      <c r="E293" s="36" t="s">
        <v>648</v>
      </c>
      <c r="F293" s="36" t="s">
        <v>111</v>
      </c>
      <c r="G293" s="36" t="s">
        <v>739</v>
      </c>
      <c r="H293" s="36">
        <v>19780</v>
      </c>
      <c r="I293" s="36">
        <v>19780</v>
      </c>
      <c r="J293" s="36">
        <f t="shared" si="24"/>
        <v>0</v>
      </c>
      <c r="K293" s="37">
        <v>0.5</v>
      </c>
      <c r="L293" s="36">
        <f t="shared" si="25"/>
        <v>9890</v>
      </c>
      <c r="M293" s="36">
        <f t="shared" si="26"/>
        <v>0</v>
      </c>
      <c r="N293" s="38">
        <v>44849</v>
      </c>
      <c r="O293" s="36" t="s">
        <v>658</v>
      </c>
      <c r="P293" s="36" t="s">
        <v>749</v>
      </c>
      <c r="Q293" s="191" t="b">
        <v>1</v>
      </c>
      <c r="R293" s="191" t="s">
        <v>737</v>
      </c>
    </row>
    <row r="294" spans="1:18">
      <c r="A294" s="36">
        <v>66</v>
      </c>
      <c r="B294" s="38">
        <v>44847</v>
      </c>
      <c r="C294" s="36" t="s">
        <v>738</v>
      </c>
      <c r="D294" s="36" t="s">
        <v>712</v>
      </c>
      <c r="E294" s="36" t="s">
        <v>650</v>
      </c>
      <c r="F294" s="36" t="s">
        <v>106</v>
      </c>
      <c r="G294" s="36" t="s">
        <v>740</v>
      </c>
      <c r="H294" s="36">
        <v>6880</v>
      </c>
      <c r="I294" s="36">
        <v>6880</v>
      </c>
      <c r="J294" s="36">
        <f t="shared" si="24"/>
        <v>0</v>
      </c>
      <c r="K294" s="37">
        <v>0.5</v>
      </c>
      <c r="L294" s="36">
        <f t="shared" si="25"/>
        <v>3440</v>
      </c>
      <c r="M294" s="36">
        <f t="shared" si="26"/>
        <v>0</v>
      </c>
      <c r="N294" s="38">
        <v>44849</v>
      </c>
      <c r="O294" s="36" t="s">
        <v>658</v>
      </c>
      <c r="P294" s="36" t="s">
        <v>749</v>
      </c>
      <c r="Q294" s="191" t="b">
        <v>1</v>
      </c>
      <c r="R294" s="191" t="s">
        <v>737</v>
      </c>
    </row>
    <row r="295" spans="1:18">
      <c r="A295" s="36">
        <v>66</v>
      </c>
      <c r="B295" s="38">
        <v>44847</v>
      </c>
      <c r="C295" s="36" t="s">
        <v>738</v>
      </c>
      <c r="D295" s="36" t="s">
        <v>712</v>
      </c>
      <c r="E295" s="36" t="s">
        <v>652</v>
      </c>
      <c r="F295" s="36" t="s">
        <v>106</v>
      </c>
      <c r="G295" s="36" t="s">
        <v>741</v>
      </c>
      <c r="H295" s="36">
        <v>34900</v>
      </c>
      <c r="I295" s="36">
        <v>34900</v>
      </c>
      <c r="J295" s="36">
        <f t="shared" si="24"/>
        <v>0</v>
      </c>
      <c r="K295" s="37">
        <v>0.5</v>
      </c>
      <c r="L295" s="36">
        <f t="shared" si="25"/>
        <v>17450</v>
      </c>
      <c r="M295" s="36">
        <f t="shared" si="26"/>
        <v>0</v>
      </c>
      <c r="N295" s="38">
        <v>44849</v>
      </c>
      <c r="O295" s="36" t="s">
        <v>658</v>
      </c>
      <c r="P295" s="36" t="s">
        <v>749</v>
      </c>
      <c r="Q295" s="191" t="b">
        <v>1</v>
      </c>
      <c r="R295" s="191" t="s">
        <v>737</v>
      </c>
    </row>
    <row r="296" spans="1:18">
      <c r="A296" s="36">
        <v>66</v>
      </c>
      <c r="B296" s="38">
        <v>44847</v>
      </c>
      <c r="C296" s="36" t="s">
        <v>738</v>
      </c>
      <c r="D296" s="36" t="s">
        <v>712</v>
      </c>
      <c r="E296" s="36" t="s">
        <v>652</v>
      </c>
      <c r="F296" s="36" t="s">
        <v>111</v>
      </c>
      <c r="G296" s="36" t="s">
        <v>688</v>
      </c>
      <c r="H296" s="36">
        <v>3980</v>
      </c>
      <c r="I296" s="36">
        <v>3980</v>
      </c>
      <c r="J296" s="36">
        <f t="shared" si="24"/>
        <v>0</v>
      </c>
      <c r="K296" s="37">
        <v>0.5</v>
      </c>
      <c r="L296" s="36">
        <f t="shared" si="25"/>
        <v>1990</v>
      </c>
      <c r="M296" s="36">
        <f t="shared" si="26"/>
        <v>0</v>
      </c>
      <c r="N296" s="38">
        <v>44849</v>
      </c>
      <c r="O296" s="36" t="s">
        <v>658</v>
      </c>
      <c r="P296" s="36" t="s">
        <v>749</v>
      </c>
      <c r="Q296" s="191" t="b">
        <v>1</v>
      </c>
      <c r="R296" s="191" t="s">
        <v>737</v>
      </c>
    </row>
    <row r="297" spans="1:18">
      <c r="A297" s="36">
        <v>66</v>
      </c>
      <c r="B297" s="38">
        <v>44847</v>
      </c>
      <c r="C297" s="36" t="s">
        <v>738</v>
      </c>
      <c r="D297" s="36" t="s">
        <v>712</v>
      </c>
      <c r="E297" s="36" t="s">
        <v>742</v>
      </c>
      <c r="F297" s="36" t="s">
        <v>106</v>
      </c>
      <c r="G297" s="36" t="s">
        <v>743</v>
      </c>
      <c r="H297" s="36">
        <v>1380</v>
      </c>
      <c r="I297" s="36">
        <v>1380</v>
      </c>
      <c r="J297" s="36">
        <f t="shared" si="24"/>
        <v>0</v>
      </c>
      <c r="K297" s="37">
        <v>0.5</v>
      </c>
      <c r="L297" s="36">
        <f t="shared" si="25"/>
        <v>690</v>
      </c>
      <c r="M297" s="36">
        <f t="shared" si="26"/>
        <v>0</v>
      </c>
      <c r="N297" s="38">
        <v>44849</v>
      </c>
      <c r="O297" s="36" t="s">
        <v>658</v>
      </c>
      <c r="P297" s="36" t="s">
        <v>749</v>
      </c>
      <c r="Q297" s="191" t="b">
        <v>1</v>
      </c>
      <c r="R297" s="191" t="s">
        <v>737</v>
      </c>
    </row>
    <row r="298" spans="1:18">
      <c r="A298" s="36">
        <v>66</v>
      </c>
      <c r="B298" s="38">
        <v>44848</v>
      </c>
      <c r="C298" s="36" t="s">
        <v>738</v>
      </c>
      <c r="D298" s="36" t="s">
        <v>712</v>
      </c>
      <c r="E298" s="36" t="s">
        <v>744</v>
      </c>
      <c r="F298" s="36" t="s">
        <v>106</v>
      </c>
      <c r="G298" s="36" t="s">
        <v>226</v>
      </c>
      <c r="H298" s="36">
        <v>20640</v>
      </c>
      <c r="I298" s="36">
        <v>20640</v>
      </c>
      <c r="J298" s="36">
        <f t="shared" si="24"/>
        <v>0</v>
      </c>
      <c r="K298" s="37">
        <v>0.5</v>
      </c>
      <c r="L298" s="36">
        <f t="shared" si="25"/>
        <v>10320</v>
      </c>
      <c r="M298" s="36">
        <f t="shared" si="26"/>
        <v>0</v>
      </c>
      <c r="N298" s="38">
        <v>44849</v>
      </c>
      <c r="O298" s="36" t="s">
        <v>658</v>
      </c>
      <c r="P298" s="36" t="s">
        <v>749</v>
      </c>
      <c r="Q298" s="191" t="b">
        <v>1</v>
      </c>
      <c r="R298" s="191" t="s">
        <v>737</v>
      </c>
    </row>
    <row r="299" spans="1:18">
      <c r="A299" s="36">
        <v>66</v>
      </c>
      <c r="B299" s="38">
        <v>44848</v>
      </c>
      <c r="C299" s="36" t="s">
        <v>738</v>
      </c>
      <c r="D299" s="36" t="s">
        <v>712</v>
      </c>
      <c r="E299" s="36" t="s">
        <v>742</v>
      </c>
      <c r="F299" s="36" t="s">
        <v>106</v>
      </c>
      <c r="G299" s="36" t="s">
        <v>404</v>
      </c>
      <c r="H299" s="36">
        <v>2980</v>
      </c>
      <c r="I299" s="36">
        <v>2980</v>
      </c>
      <c r="J299" s="36">
        <f t="shared" ref="J299:J330" si="27">H299-I299</f>
        <v>0</v>
      </c>
      <c r="K299" s="37">
        <v>0.5</v>
      </c>
      <c r="L299" s="36">
        <f t="shared" si="25"/>
        <v>1490</v>
      </c>
      <c r="M299" s="36">
        <f t="shared" si="26"/>
        <v>0</v>
      </c>
      <c r="N299" s="38">
        <v>44849</v>
      </c>
      <c r="O299" s="36" t="s">
        <v>658</v>
      </c>
      <c r="P299" s="36" t="s">
        <v>749</v>
      </c>
      <c r="Q299" s="191" t="b">
        <v>1</v>
      </c>
      <c r="R299" s="191" t="s">
        <v>737</v>
      </c>
    </row>
    <row r="300" spans="1:18">
      <c r="A300" s="36">
        <v>66</v>
      </c>
      <c r="B300" s="38">
        <v>44848</v>
      </c>
      <c r="C300" s="36" t="s">
        <v>738</v>
      </c>
      <c r="D300" s="36" t="s">
        <v>712</v>
      </c>
      <c r="E300" s="36" t="s">
        <v>745</v>
      </c>
      <c r="F300" s="36" t="s">
        <v>106</v>
      </c>
      <c r="G300" s="36" t="s">
        <v>404</v>
      </c>
      <c r="H300" s="36">
        <v>6880</v>
      </c>
      <c r="I300" s="36">
        <v>6880</v>
      </c>
      <c r="J300" s="36">
        <f t="shared" si="27"/>
        <v>0</v>
      </c>
      <c r="K300" s="37">
        <v>0.5</v>
      </c>
      <c r="L300" s="36">
        <f t="shared" si="25"/>
        <v>3440</v>
      </c>
      <c r="M300" s="36">
        <f t="shared" si="26"/>
        <v>0</v>
      </c>
      <c r="N300" s="38">
        <v>44849</v>
      </c>
      <c r="O300" s="36" t="s">
        <v>658</v>
      </c>
      <c r="P300" s="36" t="s">
        <v>749</v>
      </c>
      <c r="Q300" s="191" t="b">
        <v>1</v>
      </c>
      <c r="R300" s="191" t="s">
        <v>737</v>
      </c>
    </row>
    <row r="301" spans="1:18">
      <c r="A301" s="36">
        <v>67</v>
      </c>
      <c r="B301" s="38">
        <v>44849</v>
      </c>
      <c r="C301" s="36" t="s">
        <v>493</v>
      </c>
      <c r="E301" s="36" t="s">
        <v>120</v>
      </c>
      <c r="F301" s="36" t="s">
        <v>106</v>
      </c>
      <c r="G301" s="36" t="s">
        <v>404</v>
      </c>
      <c r="H301" s="36">
        <v>6880</v>
      </c>
      <c r="I301" s="36">
        <v>6880</v>
      </c>
      <c r="J301" s="36">
        <f t="shared" si="27"/>
        <v>0</v>
      </c>
      <c r="K301" s="37">
        <v>0.375</v>
      </c>
      <c r="L301" s="36">
        <f t="shared" ref="L301:L332" si="28">I301*K301</f>
        <v>2580</v>
      </c>
      <c r="M301" s="36">
        <f t="shared" si="26"/>
        <v>0</v>
      </c>
      <c r="N301" s="38">
        <v>44853</v>
      </c>
      <c r="O301" s="36" t="s">
        <v>220</v>
      </c>
      <c r="P301" s="36" t="s">
        <v>749</v>
      </c>
      <c r="Q301" s="36" t="b">
        <v>1</v>
      </c>
      <c r="R301" s="191" t="s">
        <v>737</v>
      </c>
    </row>
    <row r="302" spans="1:18">
      <c r="A302" s="36">
        <v>67</v>
      </c>
      <c r="B302" s="38">
        <v>44849</v>
      </c>
      <c r="C302" s="36" t="s">
        <v>493</v>
      </c>
      <c r="E302" s="36" t="s">
        <v>225</v>
      </c>
      <c r="F302" s="36" t="s">
        <v>106</v>
      </c>
      <c r="G302" s="36" t="s">
        <v>226</v>
      </c>
      <c r="H302" s="36">
        <v>32900</v>
      </c>
      <c r="I302" s="36">
        <v>32900</v>
      </c>
      <c r="J302" s="36">
        <f t="shared" si="27"/>
        <v>0</v>
      </c>
      <c r="K302" s="37">
        <v>0.375</v>
      </c>
      <c r="L302" s="36">
        <f t="shared" si="28"/>
        <v>12337.5</v>
      </c>
      <c r="M302" s="36">
        <f t="shared" si="26"/>
        <v>0</v>
      </c>
      <c r="N302" s="38">
        <v>44853</v>
      </c>
      <c r="O302" s="36" t="s">
        <v>220</v>
      </c>
      <c r="P302" s="36" t="s">
        <v>749</v>
      </c>
      <c r="Q302" s="36" t="b">
        <v>1</v>
      </c>
      <c r="R302" s="191" t="s">
        <v>737</v>
      </c>
    </row>
    <row r="303" spans="1:18">
      <c r="A303" s="36">
        <v>68</v>
      </c>
      <c r="B303" s="38">
        <v>44856</v>
      </c>
      <c r="C303" s="36" t="s">
        <v>738</v>
      </c>
      <c r="D303" s="36" t="s">
        <v>712</v>
      </c>
      <c r="E303" s="36" t="s">
        <v>650</v>
      </c>
      <c r="F303" s="36" t="s">
        <v>106</v>
      </c>
      <c r="G303" s="36" t="s">
        <v>750</v>
      </c>
      <c r="H303" s="36">
        <v>7960</v>
      </c>
      <c r="I303" s="36">
        <v>7960</v>
      </c>
      <c r="J303" s="36">
        <f t="shared" si="27"/>
        <v>0</v>
      </c>
      <c r="K303" s="37">
        <v>0.5</v>
      </c>
      <c r="L303" s="36">
        <f t="shared" si="28"/>
        <v>3980</v>
      </c>
      <c r="M303" s="36">
        <f t="shared" si="26"/>
        <v>0</v>
      </c>
    </row>
    <row r="304" spans="1:18">
      <c r="A304" s="36">
        <v>68</v>
      </c>
      <c r="B304" s="38">
        <v>44856</v>
      </c>
      <c r="C304" s="36" t="s">
        <v>738</v>
      </c>
      <c r="D304" s="36" t="s">
        <v>712</v>
      </c>
      <c r="E304" s="36" t="s">
        <v>751</v>
      </c>
      <c r="F304" s="36" t="s">
        <v>106</v>
      </c>
      <c r="G304" s="36" t="s">
        <v>752</v>
      </c>
      <c r="H304" s="36">
        <v>33413</v>
      </c>
      <c r="I304" s="36">
        <v>8000</v>
      </c>
      <c r="J304" s="36">
        <f t="shared" si="27"/>
        <v>25413</v>
      </c>
      <c r="K304" s="37">
        <v>0.5</v>
      </c>
      <c r="L304" s="36">
        <f t="shared" si="28"/>
        <v>4000</v>
      </c>
      <c r="M304" s="36">
        <f t="shared" si="26"/>
        <v>12706.5</v>
      </c>
    </row>
    <row r="305" spans="1:13">
      <c r="A305" s="36">
        <v>68</v>
      </c>
      <c r="B305" s="38">
        <v>44856</v>
      </c>
      <c r="C305" s="36" t="s">
        <v>738</v>
      </c>
      <c r="D305" s="36" t="s">
        <v>712</v>
      </c>
      <c r="E305" s="36" t="s">
        <v>753</v>
      </c>
      <c r="F305" s="36" t="s">
        <v>106</v>
      </c>
      <c r="G305" s="36" t="s">
        <v>404</v>
      </c>
      <c r="H305" s="36">
        <v>6880</v>
      </c>
      <c r="I305" s="36">
        <v>6880</v>
      </c>
      <c r="J305" s="36">
        <f t="shared" si="27"/>
        <v>0</v>
      </c>
      <c r="K305" s="37">
        <v>0.5</v>
      </c>
      <c r="L305" s="36">
        <f t="shared" si="28"/>
        <v>3440</v>
      </c>
      <c r="M305" s="36">
        <f t="shared" si="26"/>
        <v>0</v>
      </c>
    </row>
  </sheetData>
  <autoFilter ref="A2:S302" xr:uid="{00000000-0001-0000-0000-000000000000}">
    <sortState xmlns:xlrd2="http://schemas.microsoft.com/office/spreadsheetml/2017/richdata2" ref="A3:S302">
      <sortCondition ref="A2:A302"/>
    </sortState>
  </autoFilter>
  <mergeCells count="1">
    <mergeCell ref="A1:S1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E60D-B82C-4B21-BF60-5693937A2F70}">
  <dimension ref="A1:AM10"/>
  <sheetViews>
    <sheetView workbookViewId="0">
      <pane xSplit="4" topLeftCell="E1" activePane="topRight" state="frozen"/>
      <selection pane="topRight" activeCell="A10" sqref="A10:XFD10"/>
    </sheetView>
  </sheetViews>
  <sheetFormatPr defaultRowHeight="13.8"/>
  <cols>
    <col min="1" max="1" width="29.33203125" customWidth="1"/>
    <col min="2" max="2" width="13.33203125" customWidth="1"/>
    <col min="3" max="3" width="11.21875" customWidth="1"/>
    <col min="4" max="4" width="11.77734375" customWidth="1"/>
  </cols>
  <sheetData>
    <row r="1" spans="1:39">
      <c r="A1" t="s">
        <v>488</v>
      </c>
      <c r="B1" t="s">
        <v>489</v>
      </c>
      <c r="C1" t="s">
        <v>491</v>
      </c>
      <c r="D1" t="s">
        <v>490</v>
      </c>
    </row>
    <row r="2" spans="1:39" ht="15.6">
      <c r="A2" s="192" t="s">
        <v>415</v>
      </c>
      <c r="B2" s="236">
        <f>6900+14900</f>
        <v>21800</v>
      </c>
      <c r="C2" s="236">
        <f t="shared" ref="C2:C9" si="0">B2-D2</f>
        <v>14900</v>
      </c>
      <c r="D2">
        <f>SUM(E2:V2)</f>
        <v>6900</v>
      </c>
      <c r="E2" s="199">
        <v>6900</v>
      </c>
    </row>
    <row r="3" spans="1:39" ht="15.6">
      <c r="A3" s="191" t="s">
        <v>113</v>
      </c>
      <c r="B3" s="236">
        <v>37310</v>
      </c>
      <c r="C3" s="236">
        <f t="shared" si="0"/>
        <v>351</v>
      </c>
      <c r="D3">
        <f t="shared" ref="D3:D5" si="1">SUM(E3:V3)</f>
        <v>36959</v>
      </c>
      <c r="E3" s="199">
        <v>7340</v>
      </c>
      <c r="F3" s="199">
        <v>9999</v>
      </c>
      <c r="G3" s="199">
        <v>9621</v>
      </c>
      <c r="H3" s="199">
        <v>9999</v>
      </c>
    </row>
    <row r="4" spans="1:39" ht="15.6">
      <c r="A4" s="192" t="s">
        <v>441</v>
      </c>
      <c r="B4" s="236">
        <v>13800</v>
      </c>
      <c r="C4" s="236">
        <f t="shared" si="0"/>
        <v>0</v>
      </c>
      <c r="D4">
        <f t="shared" si="1"/>
        <v>13800</v>
      </c>
      <c r="E4" s="199">
        <v>9999</v>
      </c>
      <c r="F4" s="199">
        <v>3801</v>
      </c>
    </row>
    <row r="5" spans="1:39" ht="15.6">
      <c r="A5" s="191" t="s">
        <v>108</v>
      </c>
      <c r="B5" s="236">
        <v>5000</v>
      </c>
      <c r="C5" s="236">
        <f t="shared" si="0"/>
        <v>0</v>
      </c>
      <c r="D5">
        <f t="shared" si="1"/>
        <v>5000</v>
      </c>
      <c r="E5" s="199">
        <v>5000</v>
      </c>
    </row>
    <row r="6" spans="1:39" ht="15.6">
      <c r="A6" s="191" t="s">
        <v>220</v>
      </c>
      <c r="B6" s="236">
        <v>376288.13</v>
      </c>
      <c r="C6" s="236">
        <f t="shared" si="0"/>
        <v>0</v>
      </c>
      <c r="D6">
        <f>SUM(E6:CM6)</f>
        <v>376288.13</v>
      </c>
      <c r="E6" s="199">
        <f>9999*4</f>
        <v>39996</v>
      </c>
      <c r="F6" s="199">
        <v>9789</v>
      </c>
      <c r="G6" s="199">
        <v>9999</v>
      </c>
      <c r="H6" s="199">
        <v>9999</v>
      </c>
      <c r="I6" s="199">
        <v>9999</v>
      </c>
      <c r="J6" s="199">
        <v>9999</v>
      </c>
      <c r="K6" s="199">
        <v>9999</v>
      </c>
      <c r="L6" s="199">
        <v>9999</v>
      </c>
      <c r="M6" s="199">
        <v>9999</v>
      </c>
      <c r="N6" s="199">
        <v>9999</v>
      </c>
      <c r="O6" s="199">
        <v>9999</v>
      </c>
      <c r="P6" s="199">
        <v>9999</v>
      </c>
      <c r="Q6" s="199">
        <v>9999</v>
      </c>
      <c r="R6" s="199">
        <v>9999</v>
      </c>
      <c r="S6" s="199">
        <v>9999</v>
      </c>
      <c r="T6" s="199">
        <v>9999</v>
      </c>
      <c r="U6" s="199">
        <v>9999</v>
      </c>
      <c r="V6" s="199">
        <v>9999</v>
      </c>
      <c r="W6" s="199">
        <v>9999</v>
      </c>
      <c r="X6" s="199">
        <v>9999</v>
      </c>
      <c r="Y6" s="199">
        <v>9999</v>
      </c>
      <c r="Z6" s="199">
        <v>9999</v>
      </c>
      <c r="AA6" s="199">
        <v>9999</v>
      </c>
      <c r="AB6" s="199">
        <v>9999</v>
      </c>
      <c r="AC6" s="199">
        <v>9999</v>
      </c>
      <c r="AD6" s="199">
        <v>9999</v>
      </c>
      <c r="AE6" s="199">
        <v>9999</v>
      </c>
      <c r="AF6" s="199">
        <v>9999</v>
      </c>
      <c r="AG6" s="199">
        <v>9999</v>
      </c>
      <c r="AH6" s="199">
        <v>9999</v>
      </c>
      <c r="AI6" s="199">
        <v>9999</v>
      </c>
      <c r="AJ6" s="199">
        <v>9999</v>
      </c>
      <c r="AK6" s="199">
        <v>9999</v>
      </c>
      <c r="AL6" s="199">
        <v>9999</v>
      </c>
      <c r="AM6" s="199">
        <v>6535.13</v>
      </c>
    </row>
    <row r="7" spans="1:39" ht="15.6">
      <c r="A7" s="234" t="s">
        <v>646</v>
      </c>
      <c r="B7" s="236">
        <v>23625</v>
      </c>
      <c r="C7" s="236">
        <f t="shared" si="0"/>
        <v>0</v>
      </c>
      <c r="D7">
        <f>SUM(E7:CM7)</f>
        <v>23625</v>
      </c>
      <c r="E7" s="199">
        <v>9999</v>
      </c>
      <c r="F7" s="199">
        <v>9999</v>
      </c>
      <c r="G7" s="199">
        <v>3627</v>
      </c>
      <c r="H7" s="199"/>
      <c r="I7" s="199"/>
      <c r="J7" s="199"/>
      <c r="K7" s="199"/>
      <c r="L7" s="199"/>
      <c r="M7" s="199"/>
    </row>
    <row r="8" spans="1:39" ht="15.6">
      <c r="A8" s="234" t="s">
        <v>647</v>
      </c>
      <c r="B8" s="236">
        <v>89739</v>
      </c>
      <c r="C8" s="236">
        <f t="shared" si="0"/>
        <v>0</v>
      </c>
      <c r="D8">
        <f>SUM(E8:CM8)</f>
        <v>89739</v>
      </c>
      <c r="E8" s="199">
        <v>9999</v>
      </c>
      <c r="F8" s="199">
        <v>9999</v>
      </c>
      <c r="G8" s="199">
        <v>9999</v>
      </c>
      <c r="H8" s="199">
        <v>9999</v>
      </c>
      <c r="I8" s="199">
        <v>9999</v>
      </c>
      <c r="J8" s="199">
        <v>9999</v>
      </c>
      <c r="K8" s="199">
        <v>9999</v>
      </c>
      <c r="L8" s="199">
        <v>9999</v>
      </c>
      <c r="M8" s="199">
        <v>9747</v>
      </c>
    </row>
    <row r="9" spans="1:39" ht="15.6">
      <c r="A9" s="234" t="s">
        <v>694</v>
      </c>
      <c r="B9" s="236">
        <v>280408</v>
      </c>
      <c r="C9" s="236">
        <f t="shared" si="0"/>
        <v>436</v>
      </c>
      <c r="D9">
        <f>SUM(E9:CM9)</f>
        <v>279972</v>
      </c>
      <c r="E9" s="199">
        <v>9999</v>
      </c>
      <c r="F9" s="199">
        <v>9999</v>
      </c>
      <c r="G9" s="199">
        <v>9999</v>
      </c>
      <c r="H9" s="199">
        <v>9999</v>
      </c>
      <c r="I9" s="199">
        <v>9999</v>
      </c>
      <c r="J9" s="199">
        <v>9999</v>
      </c>
      <c r="K9" s="199">
        <v>9999</v>
      </c>
      <c r="L9" s="199">
        <v>9999</v>
      </c>
      <c r="M9" s="199">
        <v>9999</v>
      </c>
      <c r="N9" s="199">
        <v>9999</v>
      </c>
      <c r="O9" s="199">
        <v>9999</v>
      </c>
      <c r="P9" s="199">
        <v>9999</v>
      </c>
      <c r="Q9" s="235">
        <v>9999</v>
      </c>
      <c r="R9" s="235">
        <v>9999</v>
      </c>
      <c r="S9" s="199">
        <v>9999</v>
      </c>
      <c r="T9" s="199">
        <v>9999</v>
      </c>
      <c r="U9" s="199">
        <v>9999</v>
      </c>
      <c r="V9" s="199">
        <v>9999</v>
      </c>
      <c r="W9" s="199">
        <v>9999</v>
      </c>
      <c r="X9" s="199">
        <v>9999</v>
      </c>
      <c r="Y9" s="199">
        <v>9999</v>
      </c>
      <c r="Z9" s="199">
        <v>9999</v>
      </c>
      <c r="AA9" s="199">
        <v>9999</v>
      </c>
      <c r="AB9" s="199">
        <v>9999</v>
      </c>
      <c r="AC9" s="199">
        <v>9999</v>
      </c>
      <c r="AD9" s="199">
        <v>9999</v>
      </c>
      <c r="AE9" s="199">
        <v>9999</v>
      </c>
      <c r="AF9" s="199">
        <v>9999</v>
      </c>
    </row>
    <row r="10" spans="1:39">
      <c r="B10" s="236">
        <f>SUM(B2:B9)</f>
        <v>847970.13</v>
      </c>
      <c r="C10" s="236">
        <f>SUM(C2:C7)</f>
        <v>15251</v>
      </c>
      <c r="D10">
        <f>SUM(D2:D6)</f>
        <v>438947.13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B556-D866-43EE-920E-2B87809EF3E5}">
  <dimension ref="A1:R5"/>
  <sheetViews>
    <sheetView zoomScale="85" zoomScaleNormal="85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G17" sqref="G17"/>
    </sheetView>
  </sheetViews>
  <sheetFormatPr defaultRowHeight="13.8"/>
  <cols>
    <col min="2" max="2" width="12.88671875" customWidth="1"/>
    <col min="3" max="3" width="17.33203125" customWidth="1"/>
    <col min="4" max="4" width="14.44140625" customWidth="1"/>
    <col min="5" max="5" width="12.44140625" customWidth="1"/>
    <col min="6" max="6" width="46" customWidth="1"/>
    <col min="7" max="7" width="14.44140625" customWidth="1"/>
    <col min="8" max="8" width="13.5546875" customWidth="1"/>
    <col min="9" max="9" width="14.88671875" customWidth="1"/>
    <col min="10" max="10" width="12.109375" customWidth="1"/>
    <col min="11" max="11" width="14.109375" customWidth="1"/>
    <col min="12" max="13" width="15.5546875" customWidth="1"/>
    <col min="14" max="14" width="12.5546875" customWidth="1"/>
    <col min="15" max="15" width="15.21875" customWidth="1"/>
    <col min="16" max="16" width="11.77734375" customWidth="1"/>
    <col min="17" max="17" width="11.109375" customWidth="1"/>
  </cols>
  <sheetData>
    <row r="1" spans="1:18" s="29" customFormat="1" ht="36" customHeight="1">
      <c r="A1" s="240" t="s">
        <v>136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2"/>
    </row>
    <row r="2" spans="1:18" s="30" customFormat="1" ht="15.6">
      <c r="A2" s="40" t="s">
        <v>141</v>
      </c>
      <c r="B2" s="39" t="s">
        <v>94</v>
      </c>
      <c r="C2" s="40" t="s">
        <v>95</v>
      </c>
      <c r="D2" s="40" t="s">
        <v>96</v>
      </c>
      <c r="E2" s="40" t="s">
        <v>97</v>
      </c>
      <c r="F2" s="40" t="s">
        <v>179</v>
      </c>
      <c r="G2" s="40" t="s">
        <v>98</v>
      </c>
      <c r="H2" s="40" t="s">
        <v>99</v>
      </c>
      <c r="I2" s="40" t="s">
        <v>100</v>
      </c>
      <c r="J2" s="41" t="s">
        <v>88</v>
      </c>
      <c r="K2" s="40" t="s">
        <v>87</v>
      </c>
      <c r="L2" s="40" t="s">
        <v>101</v>
      </c>
      <c r="M2" s="39" t="s">
        <v>102</v>
      </c>
      <c r="N2" s="40" t="s">
        <v>103</v>
      </c>
      <c r="O2" s="40" t="s">
        <v>104</v>
      </c>
      <c r="P2" s="40" t="s">
        <v>735</v>
      </c>
      <c r="Q2" s="40" t="s">
        <v>736</v>
      </c>
      <c r="R2" s="40" t="s">
        <v>85</v>
      </c>
    </row>
    <row r="3" spans="1:18" s="35" customFormat="1" ht="15.6">
      <c r="A3" s="36">
        <v>67</v>
      </c>
      <c r="B3" s="38">
        <v>44849</v>
      </c>
      <c r="C3" s="36" t="s">
        <v>493</v>
      </c>
      <c r="D3" s="36" t="s">
        <v>120</v>
      </c>
      <c r="E3" s="36" t="s">
        <v>106</v>
      </c>
      <c r="F3" s="36" t="s">
        <v>404</v>
      </c>
      <c r="G3" s="36">
        <v>6880</v>
      </c>
      <c r="H3" s="36">
        <v>6880</v>
      </c>
      <c r="I3" s="36">
        <f t="shared" ref="I3:I4" si="0">G3-H3</f>
        <v>0</v>
      </c>
      <c r="J3" s="37">
        <v>0.375</v>
      </c>
      <c r="K3" s="36">
        <f t="shared" ref="K3:K4" si="1">H3*J3</f>
        <v>2580</v>
      </c>
      <c r="L3" s="36">
        <f t="shared" ref="L3:L4" si="2">I3*J3</f>
        <v>0</v>
      </c>
      <c r="M3" s="38"/>
      <c r="N3" s="36"/>
      <c r="O3" s="36"/>
      <c r="P3" s="36"/>
      <c r="Q3" s="36"/>
      <c r="R3" s="36"/>
    </row>
    <row r="4" spans="1:18" s="35" customFormat="1" ht="15.6">
      <c r="A4" s="36">
        <v>67</v>
      </c>
      <c r="B4" s="38">
        <v>44849</v>
      </c>
      <c r="C4" s="36" t="s">
        <v>493</v>
      </c>
      <c r="D4" s="36" t="s">
        <v>225</v>
      </c>
      <c r="E4" s="36" t="s">
        <v>106</v>
      </c>
      <c r="F4" s="36" t="s">
        <v>226</v>
      </c>
      <c r="G4" s="36">
        <v>32900</v>
      </c>
      <c r="H4" s="36">
        <v>32900</v>
      </c>
      <c r="I4" s="36">
        <f t="shared" si="0"/>
        <v>0</v>
      </c>
      <c r="J4" s="37">
        <v>0.375</v>
      </c>
      <c r="K4" s="36">
        <f t="shared" si="1"/>
        <v>12337.5</v>
      </c>
      <c r="L4" s="36">
        <f t="shared" si="2"/>
        <v>0</v>
      </c>
      <c r="M4" s="38"/>
      <c r="N4" s="36"/>
      <c r="O4" s="36"/>
      <c r="P4" s="36"/>
      <c r="Q4" s="36"/>
      <c r="R4" s="36"/>
    </row>
    <row r="5" spans="1:18" s="227" customFormat="1" ht="20.25" customHeight="1">
      <c r="A5" s="221"/>
      <c r="B5" s="222"/>
      <c r="C5" s="223"/>
      <c r="D5" s="223"/>
      <c r="E5" s="223"/>
      <c r="F5" s="223" t="s">
        <v>1</v>
      </c>
      <c r="G5" s="223">
        <f>SUM(G3:G4)</f>
        <v>39780</v>
      </c>
      <c r="H5" s="224">
        <f>SUM(H3:H4)</f>
        <v>39780</v>
      </c>
      <c r="I5" s="223">
        <f>SUM(I3:I4)</f>
        <v>0</v>
      </c>
      <c r="J5" s="225">
        <f>J4</f>
        <v>0.375</v>
      </c>
      <c r="K5" s="224">
        <f>H5*J5</f>
        <v>14917.5</v>
      </c>
      <c r="L5" s="221">
        <f>I5*J5</f>
        <v>0</v>
      </c>
      <c r="M5" s="226"/>
      <c r="N5" s="223"/>
      <c r="O5" s="223"/>
      <c r="P5" s="223"/>
    </row>
  </sheetData>
  <autoFilter ref="A2:P5" xr:uid="{3385B556-D866-43EE-920E-2B87809EF3E5}">
    <sortState xmlns:xlrd2="http://schemas.microsoft.com/office/spreadsheetml/2017/richdata2" ref="A3:P5">
      <sortCondition ref="C2:C5"/>
    </sortState>
  </autoFilter>
  <mergeCells count="1">
    <mergeCell ref="A1:P1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9EB5-8EA0-4FC2-B69D-38372EDD973A}">
  <dimension ref="A1:C8"/>
  <sheetViews>
    <sheetView workbookViewId="0">
      <selection activeCell="B11" sqref="B11"/>
    </sheetView>
  </sheetViews>
  <sheetFormatPr defaultRowHeight="13.8"/>
  <cols>
    <col min="3" max="3" width="25.44140625" customWidth="1"/>
  </cols>
  <sheetData>
    <row r="1" spans="1:3">
      <c r="A1" t="s">
        <v>547</v>
      </c>
      <c r="B1" t="s">
        <v>555</v>
      </c>
      <c r="C1" t="s">
        <v>549</v>
      </c>
    </row>
    <row r="2" spans="1:3">
      <c r="A2" t="s">
        <v>548</v>
      </c>
      <c r="B2" t="s">
        <v>553</v>
      </c>
      <c r="C2" t="s">
        <v>554</v>
      </c>
    </row>
    <row r="3" spans="1:3">
      <c r="A3" t="s">
        <v>550</v>
      </c>
      <c r="B3" t="s">
        <v>553</v>
      </c>
      <c r="C3" t="s">
        <v>558</v>
      </c>
    </row>
    <row r="4" spans="1:3">
      <c r="A4" t="s">
        <v>350</v>
      </c>
      <c r="B4" t="s">
        <v>553</v>
      </c>
      <c r="C4" t="s">
        <v>558</v>
      </c>
    </row>
    <row r="5" spans="1:3">
      <c r="A5" t="s">
        <v>551</v>
      </c>
      <c r="B5" t="s">
        <v>553</v>
      </c>
      <c r="C5" t="s">
        <v>556</v>
      </c>
    </row>
    <row r="6" spans="1:3">
      <c r="A6" t="s">
        <v>347</v>
      </c>
      <c r="B6" t="s">
        <v>553</v>
      </c>
      <c r="C6" t="s">
        <v>559</v>
      </c>
    </row>
    <row r="7" spans="1:3">
      <c r="A7" t="s">
        <v>345</v>
      </c>
      <c r="B7" t="s">
        <v>553</v>
      </c>
      <c r="C7" t="s">
        <v>560</v>
      </c>
    </row>
    <row r="8" spans="1:3">
      <c r="A8" t="s">
        <v>552</v>
      </c>
      <c r="B8" t="s">
        <v>553</v>
      </c>
      <c r="C8" t="s">
        <v>557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DF83-1EAA-4389-815C-7962389B9183}">
  <dimension ref="A1:X37"/>
  <sheetViews>
    <sheetView topLeftCell="G1" zoomScaleNormal="100" workbookViewId="0">
      <selection activeCell="K19" sqref="K19"/>
    </sheetView>
  </sheetViews>
  <sheetFormatPr defaultColWidth="9.109375" defaultRowHeight="13.8"/>
  <cols>
    <col min="1" max="1" width="11.33203125" style="42" customWidth="1"/>
    <col min="2" max="2" width="12.5546875" style="42" customWidth="1"/>
    <col min="3" max="3" width="13.6640625" style="42" customWidth="1"/>
    <col min="4" max="4" width="9.5546875" style="42" customWidth="1"/>
    <col min="5" max="5" width="10.5546875" style="42" customWidth="1"/>
    <col min="6" max="6" width="16.5546875" style="42" customWidth="1"/>
    <col min="7" max="7" width="8.6640625" style="42" customWidth="1"/>
    <col min="8" max="8" width="12" style="42" customWidth="1"/>
    <col min="9" max="9" width="11.88671875" style="42" customWidth="1"/>
    <col min="10" max="10" width="8.44140625" style="42" customWidth="1"/>
    <col min="11" max="11" width="11.6640625" style="42" customWidth="1"/>
    <col min="12" max="12" width="15.44140625" style="42" customWidth="1"/>
    <col min="13" max="14" width="9.77734375" style="42" customWidth="1"/>
    <col min="15" max="15" width="13.6640625" style="42" customWidth="1"/>
    <col min="16" max="16" width="12.6640625" style="42" customWidth="1"/>
    <col min="17" max="17" width="7.5546875" style="42" customWidth="1"/>
    <col min="18" max="18" width="9.5546875" style="42" customWidth="1"/>
    <col min="19" max="19" width="7.33203125" style="42" customWidth="1"/>
    <col min="20" max="20" width="10.5546875" style="42" customWidth="1"/>
    <col min="21" max="21" width="9.77734375" style="42" customWidth="1"/>
    <col min="22" max="23" width="11.33203125" style="42" customWidth="1"/>
    <col min="24" max="16384" width="9.109375" style="42"/>
  </cols>
  <sheetData>
    <row r="1" spans="1:24" ht="27" customHeight="1" thickBot="1">
      <c r="A1" s="247" t="s">
        <v>234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</row>
    <row r="2" spans="1:24" ht="15">
      <c r="A2" s="248" t="s">
        <v>235</v>
      </c>
      <c r="B2" s="251" t="s">
        <v>236</v>
      </c>
      <c r="C2" s="251"/>
      <c r="D2" s="251"/>
      <c r="E2" s="251"/>
      <c r="F2" s="253" t="s">
        <v>237</v>
      </c>
      <c r="G2" s="253"/>
      <c r="H2" s="253"/>
      <c r="I2" s="253"/>
      <c r="J2" s="253"/>
      <c r="K2" s="253"/>
      <c r="L2" s="253"/>
      <c r="M2" s="253"/>
      <c r="N2" s="253"/>
      <c r="O2" s="253"/>
      <c r="P2" s="254" t="s">
        <v>238</v>
      </c>
      <c r="Q2" s="257" t="s">
        <v>239</v>
      </c>
      <c r="R2" s="257"/>
      <c r="S2" s="257"/>
      <c r="T2" s="258" t="s">
        <v>240</v>
      </c>
      <c r="U2" s="258"/>
      <c r="V2" s="258"/>
      <c r="W2" s="259" t="s">
        <v>241</v>
      </c>
    </row>
    <row r="3" spans="1:24" s="43" customFormat="1" ht="15.6">
      <c r="A3" s="249"/>
      <c r="B3" s="252"/>
      <c r="C3" s="252"/>
      <c r="D3" s="252"/>
      <c r="E3" s="252"/>
      <c r="F3" s="261" t="s">
        <v>242</v>
      </c>
      <c r="G3" s="261"/>
      <c r="H3" s="261"/>
      <c r="I3" s="261" t="s">
        <v>243</v>
      </c>
      <c r="J3" s="261"/>
      <c r="K3" s="261"/>
      <c r="L3" s="261"/>
      <c r="M3" s="261"/>
      <c r="N3" s="261"/>
      <c r="O3" s="261"/>
      <c r="P3" s="255"/>
      <c r="Q3" s="258"/>
      <c r="R3" s="258"/>
      <c r="S3" s="258"/>
      <c r="T3" s="258"/>
      <c r="U3" s="258"/>
      <c r="V3" s="258"/>
      <c r="W3" s="260"/>
    </row>
    <row r="4" spans="1:24" s="50" customFormat="1" thickBot="1">
      <c r="A4" s="250"/>
      <c r="B4" s="44" t="s">
        <v>244</v>
      </c>
      <c r="C4" s="44" t="s">
        <v>245</v>
      </c>
      <c r="D4" s="44" t="s">
        <v>246</v>
      </c>
      <c r="E4" s="44" t="s">
        <v>8</v>
      </c>
      <c r="F4" s="45" t="s">
        <v>247</v>
      </c>
      <c r="G4" s="45" t="s">
        <v>248</v>
      </c>
      <c r="H4" s="45" t="s">
        <v>8</v>
      </c>
      <c r="I4" s="45" t="s">
        <v>249</v>
      </c>
      <c r="J4" s="45" t="s">
        <v>250</v>
      </c>
      <c r="K4" s="46" t="s">
        <v>251</v>
      </c>
      <c r="L4" s="47" t="s">
        <v>252</v>
      </c>
      <c r="M4" s="45" t="s">
        <v>253</v>
      </c>
      <c r="N4" s="45" t="s">
        <v>254</v>
      </c>
      <c r="O4" s="45" t="s">
        <v>8</v>
      </c>
      <c r="P4" s="256"/>
      <c r="Q4" s="48" t="s">
        <v>255</v>
      </c>
      <c r="R4" s="48" t="s">
        <v>256</v>
      </c>
      <c r="S4" s="48" t="s">
        <v>8</v>
      </c>
      <c r="T4" s="48" t="s">
        <v>255</v>
      </c>
      <c r="U4" s="48" t="s">
        <v>257</v>
      </c>
      <c r="V4" s="48" t="s">
        <v>258</v>
      </c>
      <c r="W4" s="49"/>
    </row>
    <row r="5" spans="1:24" s="43" customFormat="1" ht="18" thickTop="1">
      <c r="A5" s="51" t="s">
        <v>259</v>
      </c>
      <c r="B5" s="52"/>
      <c r="C5" s="52">
        <v>87187</v>
      </c>
      <c r="D5" s="52">
        <v>14006</v>
      </c>
      <c r="E5" s="53">
        <f t="shared" ref="E5:E16" si="0">B5+C5</f>
        <v>87187</v>
      </c>
      <c r="F5" s="53">
        <f>62891.76</f>
        <v>62891.76</v>
      </c>
      <c r="G5" s="53">
        <f>180000-100000</f>
        <v>80000</v>
      </c>
      <c r="H5" s="53">
        <f t="shared" ref="H5:H16" si="1">F5+G5</f>
        <v>142891.76</v>
      </c>
      <c r="I5" s="53">
        <v>80902.5</v>
      </c>
      <c r="J5" s="53">
        <v>25768</v>
      </c>
      <c r="K5" s="53">
        <v>105108.14</v>
      </c>
      <c r="L5" s="53">
        <f>113185.6+1332</f>
        <v>114517.6</v>
      </c>
      <c r="M5" s="53">
        <f>376816.37-I5-L5-K5-J5</f>
        <v>50520.12999999999</v>
      </c>
      <c r="N5" s="53"/>
      <c r="O5" s="53">
        <f>376816.37</f>
        <v>376816.37</v>
      </c>
      <c r="P5" s="53">
        <f>E5-O5-H5</f>
        <v>-432521.13</v>
      </c>
      <c r="Q5" s="53"/>
      <c r="R5" s="53"/>
      <c r="S5" s="53"/>
      <c r="T5" s="53"/>
      <c r="U5" s="53">
        <v>398900</v>
      </c>
      <c r="V5" s="53">
        <f>398900</f>
        <v>398900</v>
      </c>
      <c r="W5" s="54"/>
    </row>
    <row r="6" spans="1:24" ht="17.399999999999999">
      <c r="A6" s="55">
        <v>1</v>
      </c>
      <c r="B6" s="56"/>
      <c r="C6" s="56">
        <f>82404-1720</f>
        <v>80684</v>
      </c>
      <c r="D6" s="56"/>
      <c r="E6" s="57">
        <f>B6+C6</f>
        <v>80684</v>
      </c>
      <c r="F6" s="57">
        <f>28874.52+9456.88+80000</f>
        <v>118331.4</v>
      </c>
      <c r="G6" s="57">
        <f>16000+4446.36</f>
        <v>20446.36</v>
      </c>
      <c r="H6" s="57">
        <f t="shared" si="1"/>
        <v>138777.76</v>
      </c>
      <c r="I6" s="57"/>
      <c r="J6" s="57"/>
      <c r="K6" s="57"/>
      <c r="L6" s="57"/>
      <c r="M6" s="57">
        <f>254+14.16+14417.73</f>
        <v>14685.89</v>
      </c>
      <c r="N6" s="57">
        <v>30000</v>
      </c>
      <c r="O6" s="57">
        <f>L6+M6+N6</f>
        <v>44685.89</v>
      </c>
      <c r="P6" s="57">
        <f>E6-H6-O6</f>
        <v>-102779.65000000001</v>
      </c>
      <c r="Q6" s="57"/>
      <c r="R6" s="57"/>
      <c r="S6" s="57"/>
      <c r="T6" s="57">
        <f>65000-30000</f>
        <v>35000</v>
      </c>
      <c r="U6" s="57"/>
      <c r="V6" s="57">
        <f t="shared" ref="V6:V16" si="2">V5+T6+U6</f>
        <v>433900</v>
      </c>
      <c r="W6" s="58"/>
    </row>
    <row r="7" spans="1:24" ht="17.399999999999999">
      <c r="A7" s="59">
        <v>2</v>
      </c>
      <c r="B7" s="60"/>
      <c r="C7" s="60">
        <v>0</v>
      </c>
      <c r="D7" s="60"/>
      <c r="E7" s="61">
        <f t="shared" si="0"/>
        <v>0</v>
      </c>
      <c r="F7" s="62">
        <f>11664.52+9456.88+16000</f>
        <v>37121.4</v>
      </c>
      <c r="G7" s="62">
        <f>16000*2+1666.36-16000*2</f>
        <v>1666.3600000000006</v>
      </c>
      <c r="H7" s="62">
        <f t="shared" si="1"/>
        <v>38787.760000000002</v>
      </c>
      <c r="I7" s="62"/>
      <c r="J7" s="62"/>
      <c r="K7" s="62"/>
      <c r="L7" s="62"/>
      <c r="M7" s="62">
        <f>42+0.95+2338.3</f>
        <v>2381.25</v>
      </c>
      <c r="N7" s="62">
        <v>30000</v>
      </c>
      <c r="O7" s="57">
        <f t="shared" ref="O7:O11" si="3">L7+M7+N7</f>
        <v>32381.25</v>
      </c>
      <c r="P7" s="63">
        <f t="shared" ref="P7:P17" si="4">E7-H7-O7</f>
        <v>-71169.010000000009</v>
      </c>
      <c r="Q7" s="57"/>
      <c r="R7" s="57"/>
      <c r="S7" s="64"/>
      <c r="T7" s="64">
        <v>-30000</v>
      </c>
      <c r="U7" s="64">
        <f>10000+40000</f>
        <v>50000</v>
      </c>
      <c r="V7" s="65">
        <f t="shared" si="2"/>
        <v>453900</v>
      </c>
      <c r="W7" s="66"/>
    </row>
    <row r="8" spans="1:24" s="43" customFormat="1" ht="17.399999999999999">
      <c r="A8" s="55">
        <v>3</v>
      </c>
      <c r="B8" s="56">
        <f>8.82+3.55</f>
        <v>12.370000000000001</v>
      </c>
      <c r="C8" s="56">
        <f>221282-34143</f>
        <v>187139</v>
      </c>
      <c r="D8" s="56">
        <v>3400</v>
      </c>
      <c r="E8" s="57">
        <f t="shared" si="0"/>
        <v>187151.37</v>
      </c>
      <c r="F8" s="57">
        <f>30877.81+4193.5+2903.29+10638.99</f>
        <v>48613.59</v>
      </c>
      <c r="G8" s="57">
        <f>16000*2+4146.36</f>
        <v>36146.36</v>
      </c>
      <c r="H8" s="57">
        <f t="shared" si="1"/>
        <v>84759.95</v>
      </c>
      <c r="I8" s="57"/>
      <c r="J8" s="57"/>
      <c r="K8" s="57"/>
      <c r="L8" s="57">
        <f>1160+3750</f>
        <v>4910</v>
      </c>
      <c r="M8" s="57">
        <f>8586+1537.85-L8+402</f>
        <v>5615.85</v>
      </c>
      <c r="N8" s="57">
        <v>30000</v>
      </c>
      <c r="O8" s="57">
        <f t="shared" si="3"/>
        <v>40525.85</v>
      </c>
      <c r="P8" s="57">
        <f>E8-H8-O8</f>
        <v>61865.57</v>
      </c>
      <c r="Q8" s="57"/>
      <c r="R8" s="57"/>
      <c r="S8" s="57"/>
      <c r="T8" s="57">
        <f>5000-50000-9900</f>
        <v>-54900</v>
      </c>
      <c r="U8" s="57">
        <f>10000+10000</f>
        <v>20000</v>
      </c>
      <c r="V8" s="57">
        <f t="shared" si="2"/>
        <v>419000</v>
      </c>
      <c r="W8" s="58"/>
    </row>
    <row r="9" spans="1:24" s="43" customFormat="1" ht="17.399999999999999">
      <c r="A9" s="59">
        <v>4</v>
      </c>
      <c r="B9" s="60"/>
      <c r="C9" s="60">
        <f>29649-4116.96</f>
        <v>25532.04</v>
      </c>
      <c r="D9" s="60"/>
      <c r="E9" s="61">
        <f t="shared" si="0"/>
        <v>25532.04</v>
      </c>
      <c r="F9" s="62">
        <f>33663.91+10638.99</f>
        <v>44302.9</v>
      </c>
      <c r="G9" s="62">
        <f>16000*2+4146.36</f>
        <v>36146.36</v>
      </c>
      <c r="H9" s="62">
        <f t="shared" si="1"/>
        <v>80449.260000000009</v>
      </c>
      <c r="I9" s="62"/>
      <c r="J9" s="62"/>
      <c r="K9" s="62"/>
      <c r="L9" s="62"/>
      <c r="M9" s="62">
        <f>12271.65+2043.11+4.66+78</f>
        <v>14397.42</v>
      </c>
      <c r="N9" s="62">
        <v>30000</v>
      </c>
      <c r="O9" s="57">
        <f t="shared" si="3"/>
        <v>44397.42</v>
      </c>
      <c r="P9" s="63">
        <f t="shared" si="4"/>
        <v>-99314.640000000014</v>
      </c>
      <c r="Q9" s="57"/>
      <c r="R9" s="57"/>
      <c r="S9" s="64"/>
      <c r="T9" s="64"/>
      <c r="U9" s="64"/>
      <c r="V9" s="65">
        <f t="shared" si="2"/>
        <v>419000</v>
      </c>
      <c r="W9" s="66"/>
    </row>
    <row r="10" spans="1:24" s="43" customFormat="1" ht="17.399999999999999">
      <c r="A10" s="55">
        <v>5</v>
      </c>
      <c r="B10" s="56"/>
      <c r="C10" s="56">
        <v>84104.8</v>
      </c>
      <c r="D10" s="56"/>
      <c r="E10" s="57">
        <f t="shared" si="0"/>
        <v>84104.8</v>
      </c>
      <c r="F10" s="57">
        <f>31130.56+13020.11</f>
        <v>44150.67</v>
      </c>
      <c r="G10" s="57">
        <f>16000*2+4146.36</f>
        <v>36146.36</v>
      </c>
      <c r="H10" s="57">
        <f t="shared" si="1"/>
        <v>80297.03</v>
      </c>
      <c r="I10" s="57"/>
      <c r="J10" s="57"/>
      <c r="K10" s="57"/>
      <c r="L10" s="57">
        <f>119400+7000-60000</f>
        <v>66400</v>
      </c>
      <c r="M10" s="57">
        <f>137775.18+5752.74-126400+66+0.95</f>
        <v>17194.869999999984</v>
      </c>
      <c r="N10" s="57">
        <v>30000</v>
      </c>
      <c r="O10" s="57">
        <f t="shared" si="3"/>
        <v>113594.86999999998</v>
      </c>
      <c r="P10" s="57">
        <f t="shared" si="4"/>
        <v>-109787.09999999998</v>
      </c>
      <c r="Q10" s="57"/>
      <c r="R10" s="57"/>
      <c r="S10" s="57"/>
      <c r="T10" s="57">
        <f>-30000-50000</f>
        <v>-80000</v>
      </c>
      <c r="U10" s="57">
        <f>30000+120000</f>
        <v>150000</v>
      </c>
      <c r="V10" s="57">
        <f t="shared" si="2"/>
        <v>489000</v>
      </c>
      <c r="W10" s="58"/>
    </row>
    <row r="11" spans="1:24" s="43" customFormat="1" ht="17.399999999999999">
      <c r="A11" s="59">
        <v>6</v>
      </c>
      <c r="B11" s="60">
        <v>10272</v>
      </c>
      <c r="C11" s="60">
        <f>300+1500+30471+22800+3000+10120+1510+60000+1183.8*3+10000+25.04+3.27</f>
        <v>143280.71</v>
      </c>
      <c r="D11" s="60"/>
      <c r="E11" s="61">
        <f t="shared" si="0"/>
        <v>153552.71</v>
      </c>
      <c r="F11" s="62">
        <f>16573.2+45023.89+37359+6000</f>
        <v>104956.09</v>
      </c>
      <c r="G11" s="62">
        <f>16000*2+4101</f>
        <v>36101</v>
      </c>
      <c r="H11" s="62">
        <f t="shared" si="1"/>
        <v>141057.09</v>
      </c>
      <c r="I11" s="62"/>
      <c r="J11" s="62"/>
      <c r="K11" s="62"/>
      <c r="L11" s="62"/>
      <c r="M11" s="62">
        <f>16811.02+37312.5-21023.89+14.54+63.27</f>
        <v>33177.440000000002</v>
      </c>
      <c r="N11" s="62">
        <v>30000</v>
      </c>
      <c r="O11" s="57">
        <f t="shared" si="3"/>
        <v>63177.440000000002</v>
      </c>
      <c r="P11" s="63">
        <f t="shared" si="4"/>
        <v>-50681.820000000007</v>
      </c>
      <c r="Q11" s="57">
        <v>1375.78</v>
      </c>
      <c r="R11" s="57">
        <f>11759.01+1979.88</f>
        <v>13738.89</v>
      </c>
      <c r="S11" s="64"/>
      <c r="T11" s="64">
        <f>-45000-60000-50000</f>
        <v>-155000</v>
      </c>
      <c r="U11" s="64">
        <v>45000</v>
      </c>
      <c r="V11" s="65">
        <f t="shared" si="2"/>
        <v>379000</v>
      </c>
      <c r="W11" s="66"/>
    </row>
    <row r="12" spans="1:24" s="43" customFormat="1" ht="17.399999999999999">
      <c r="A12" s="55">
        <v>7</v>
      </c>
      <c r="B12" s="56"/>
      <c r="C12" s="56">
        <f>58846.12+3105+1744+105+1262+6900+1740+9456+20970+5850-1504.8-16119+1335*3</f>
        <v>96359.319999999992</v>
      </c>
      <c r="D12" s="56"/>
      <c r="E12" s="57">
        <f t="shared" si="0"/>
        <v>96359.319999999992</v>
      </c>
      <c r="F12" s="57">
        <f>6484.6+18690+41620</f>
        <v>66794.600000000006</v>
      </c>
      <c r="G12" s="57">
        <f>16000*2+4096</f>
        <v>36096</v>
      </c>
      <c r="H12" s="62">
        <f t="shared" si="1"/>
        <v>102890.6</v>
      </c>
      <c r="I12" s="57">
        <v>1720</v>
      </c>
      <c r="J12" s="57"/>
      <c r="K12" s="57"/>
      <c r="L12" s="57"/>
      <c r="M12" s="57">
        <v>18730.34</v>
      </c>
      <c r="N12" s="57">
        <v>30000</v>
      </c>
      <c r="O12" s="57">
        <f>I12+J12+K12+L12+M12+N12</f>
        <v>50450.34</v>
      </c>
      <c r="P12" s="57">
        <f t="shared" si="4"/>
        <v>-56981.62000000001</v>
      </c>
      <c r="Q12" s="57"/>
      <c r="R12" s="57"/>
      <c r="S12" s="57"/>
      <c r="T12" s="57">
        <f>-40000+20000-30000</f>
        <v>-50000</v>
      </c>
      <c r="U12" s="57">
        <v>50000</v>
      </c>
      <c r="V12" s="57">
        <f t="shared" si="2"/>
        <v>379000</v>
      </c>
      <c r="W12" s="58"/>
    </row>
    <row r="13" spans="1:24" ht="17.399999999999999">
      <c r="A13" s="59">
        <v>8</v>
      </c>
      <c r="B13" s="60">
        <v>14900</v>
      </c>
      <c r="C13" s="60">
        <f>3450+143.34+536+15000+1838.4+26800+29200+5180+1380-4059+17910+13800+6900-6900-465.4+14900-14900</f>
        <v>110713.34000000001</v>
      </c>
      <c r="D13" s="60"/>
      <c r="E13" s="57">
        <f t="shared" si="0"/>
        <v>125613.34000000001</v>
      </c>
      <c r="F13" s="62">
        <f>21360+41539.11</f>
        <v>62899.11</v>
      </c>
      <c r="G13" s="62">
        <f>10000+4096</f>
        <v>14096</v>
      </c>
      <c r="H13" s="62">
        <f t="shared" si="1"/>
        <v>76995.11</v>
      </c>
      <c r="I13" s="62">
        <v>2935</v>
      </c>
      <c r="J13" s="62"/>
      <c r="K13" s="62"/>
      <c r="L13" s="62">
        <v>2000</v>
      </c>
      <c r="M13" s="62">
        <f>20000+30000+8151.73+9850.43+30+80.69-2935</f>
        <v>65177.850000000006</v>
      </c>
      <c r="N13" s="62">
        <v>30000</v>
      </c>
      <c r="O13" s="57">
        <f>I13+J13+K13+L13+M13+N13</f>
        <v>100112.85</v>
      </c>
      <c r="P13" s="57">
        <f t="shared" si="4"/>
        <v>-51494.619999999995</v>
      </c>
      <c r="Q13" s="57"/>
      <c r="R13" s="57"/>
      <c r="S13" s="64"/>
      <c r="T13" s="64">
        <f>-20000-30000-30000-20000-5000-15000</f>
        <v>-120000</v>
      </c>
      <c r="U13" s="64">
        <f>65000+30000</f>
        <v>95000</v>
      </c>
      <c r="V13" s="57">
        <f t="shared" si="2"/>
        <v>354000</v>
      </c>
      <c r="W13" s="58"/>
      <c r="X13" s="67" t="s">
        <v>260</v>
      </c>
    </row>
    <row r="14" spans="1:24" ht="19.2" customHeight="1">
      <c r="A14" s="55">
        <v>9</v>
      </c>
      <c r="B14" s="68"/>
      <c r="C14" s="57">
        <f>6000+13800+12840+10860+4030+1592+9900+825.3+27920+686+9000+15520+14300+1335*4</f>
        <v>132613.29999999999</v>
      </c>
      <c r="D14" s="57"/>
      <c r="E14" s="57">
        <f t="shared" si="0"/>
        <v>132613.29999999999</v>
      </c>
      <c r="F14" s="69">
        <f>37800+67582.75+3233.25+3233.25+53300+32800+16400+20674.6+69291.97+8000*2+1861</f>
        <v>322176.82</v>
      </c>
      <c r="G14" s="69">
        <v>3596</v>
      </c>
      <c r="H14" s="69">
        <f t="shared" si="1"/>
        <v>325772.82</v>
      </c>
      <c r="I14" s="69"/>
      <c r="J14" s="69"/>
      <c r="K14" s="69"/>
      <c r="L14" s="69">
        <v>2663</v>
      </c>
      <c r="M14" s="69">
        <f>1300+800+400+8013.05</f>
        <v>10513.05</v>
      </c>
      <c r="N14" s="69">
        <v>30000</v>
      </c>
      <c r="O14" s="57">
        <f>I14+J14+K14+L14+M14+N14</f>
        <v>43176.05</v>
      </c>
      <c r="P14" s="57">
        <f t="shared" si="4"/>
        <v>-236335.57</v>
      </c>
      <c r="Q14" s="69"/>
      <c r="R14" s="69"/>
      <c r="S14" s="69"/>
      <c r="T14" s="69">
        <f>-20000+100000-6000-14000-10000-30000-10000+102500-25000</f>
        <v>87500</v>
      </c>
      <c r="U14" s="69">
        <f>65000+40000</f>
        <v>105000</v>
      </c>
      <c r="V14" s="57">
        <f t="shared" si="2"/>
        <v>546500</v>
      </c>
      <c r="W14" s="58">
        <f>C14-15520-9000-14300-686-27920-825.3-9900-1592-4030-10860-12840-13800-6000-5340</f>
        <v>-1.4551915228366852E-11</v>
      </c>
    </row>
    <row r="15" spans="1:24" ht="16.95" customHeight="1">
      <c r="A15" s="59">
        <v>10</v>
      </c>
      <c r="B15" s="70"/>
      <c r="C15" s="61">
        <f>16312+55216+10070+12691+3549+1490+7780+2000+5340+13410</f>
        <v>127858</v>
      </c>
      <c r="D15" s="61"/>
      <c r="E15" s="57">
        <f t="shared" si="0"/>
        <v>127858</v>
      </c>
      <c r="F15" s="71">
        <f>20695.52+55177.8+27000</f>
        <v>102873.32</v>
      </c>
      <c r="G15" s="71">
        <v>3596</v>
      </c>
      <c r="H15" s="69">
        <f t="shared" si="1"/>
        <v>106469.32</v>
      </c>
      <c r="I15" s="71"/>
      <c r="J15" s="71"/>
      <c r="K15" s="71"/>
      <c r="L15" s="71">
        <f>500+2663</f>
        <v>3163</v>
      </c>
      <c r="M15" s="71">
        <f>47.2+19805.82</f>
        <v>19853.02</v>
      </c>
      <c r="N15" s="71">
        <v>30000</v>
      </c>
      <c r="O15" s="57">
        <f>I15+J15+K15+L15+M15+N15</f>
        <v>53016.020000000004</v>
      </c>
      <c r="P15" s="57">
        <f t="shared" si="4"/>
        <v>-31627.340000000011</v>
      </c>
      <c r="Q15" s="69"/>
      <c r="R15" s="69"/>
      <c r="S15" s="72"/>
      <c r="T15" s="72">
        <f>20000-19000</f>
        <v>1000</v>
      </c>
      <c r="U15" s="72">
        <f>70000+20000</f>
        <v>90000</v>
      </c>
      <c r="V15" s="57">
        <f t="shared" si="2"/>
        <v>637500</v>
      </c>
      <c r="W15" s="58">
        <f>C15-10070-11900-105-1490-7780-5340</f>
        <v>91173</v>
      </c>
    </row>
    <row r="16" spans="1:24" ht="18" customHeight="1">
      <c r="A16" s="55">
        <v>11</v>
      </c>
      <c r="B16" s="68"/>
      <c r="C16" s="57">
        <f>54702+1490+1192+24280+67702.5+1490+1490+1335*3+6+6</f>
        <v>156363.5</v>
      </c>
      <c r="D16" s="57"/>
      <c r="E16" s="69">
        <f t="shared" si="0"/>
        <v>156363.5</v>
      </c>
      <c r="F16" s="69">
        <f>272.07+12448.8+4906.2</f>
        <v>17627.07</v>
      </c>
      <c r="G16" s="69">
        <v>82000</v>
      </c>
      <c r="H16" s="69">
        <f t="shared" si="1"/>
        <v>99627.07</v>
      </c>
      <c r="I16" s="69"/>
      <c r="J16" s="69"/>
      <c r="K16" s="69">
        <v>30000</v>
      </c>
      <c r="L16" s="69">
        <v>234000</v>
      </c>
      <c r="M16" s="69">
        <f>13273.76+100+30+28.8+10.8+1260</f>
        <v>14703.359999999999</v>
      </c>
      <c r="N16" s="69">
        <v>30000</v>
      </c>
      <c r="O16" s="57">
        <f>I16+J16+K16+L16+M16+N16</f>
        <v>308703.35999999999</v>
      </c>
      <c r="P16" s="57">
        <f t="shared" si="4"/>
        <v>-251966.93</v>
      </c>
      <c r="Q16" s="69"/>
      <c r="R16" s="69"/>
      <c r="S16" s="69"/>
      <c r="T16" s="69">
        <f>3000+27000+4000</f>
        <v>34000</v>
      </c>
      <c r="U16" s="69">
        <f>30000+70000+235000-60000</f>
        <v>275000</v>
      </c>
      <c r="V16" s="57">
        <f t="shared" si="2"/>
        <v>946500</v>
      </c>
      <c r="W16" s="58">
        <f>C16-6-6-1335*3</f>
        <v>152346.5</v>
      </c>
    </row>
    <row r="17" spans="1:23" ht="17.399999999999999">
      <c r="A17" s="59">
        <v>12</v>
      </c>
      <c r="B17" s="61">
        <f>59400+29852</f>
        <v>89252</v>
      </c>
      <c r="C17" s="61">
        <f>73728+30920+61032.5+10000+1190+484+2792</f>
        <v>180146.5</v>
      </c>
      <c r="D17" s="61"/>
      <c r="E17" s="61">
        <f>B17+C17</f>
        <v>269398.5</v>
      </c>
      <c r="F17" s="71">
        <v>82467.990000000005</v>
      </c>
      <c r="G17" s="71">
        <v>22000</v>
      </c>
      <c r="H17" s="71">
        <f>F17+G17</f>
        <v>104467.99</v>
      </c>
      <c r="I17" s="71"/>
      <c r="J17" s="71">
        <v>8896</v>
      </c>
      <c r="K17" s="71"/>
      <c r="L17" s="71"/>
      <c r="M17" s="71">
        <f>1917+12049.3+34987.51+4378.94</f>
        <v>53332.75</v>
      </c>
      <c r="N17" s="71">
        <v>30000</v>
      </c>
      <c r="O17" s="71">
        <f>SUM(I17:N17)</f>
        <v>92228.75</v>
      </c>
      <c r="P17" s="57">
        <f t="shared" si="4"/>
        <v>72701.760000000009</v>
      </c>
      <c r="Q17" s="69"/>
      <c r="R17" s="69"/>
      <c r="S17" s="72"/>
      <c r="T17" s="72">
        <f>5000+25000+2000</f>
        <v>32000</v>
      </c>
      <c r="U17" s="72">
        <f>10000+54000-60000+26000-30000</f>
        <v>0</v>
      </c>
      <c r="V17" s="65">
        <f>V16+T17+U17</f>
        <v>978500</v>
      </c>
      <c r="W17" s="66">
        <f>C17</f>
        <v>180146.5</v>
      </c>
    </row>
    <row r="18" spans="1:23" ht="17.399999999999999">
      <c r="A18" s="73" t="s">
        <v>261</v>
      </c>
      <c r="B18" s="74">
        <f t="shared" ref="B18:H18" si="5">SUM(B6:B17)</f>
        <v>114436.37</v>
      </c>
      <c r="C18" s="74">
        <f t="shared" si="5"/>
        <v>1324794.5099999998</v>
      </c>
      <c r="D18" s="74">
        <f t="shared" si="5"/>
        <v>3400</v>
      </c>
      <c r="E18" s="75">
        <f>SUM(E6:E17)</f>
        <v>1439230.88</v>
      </c>
      <c r="F18" s="75">
        <f t="shared" si="5"/>
        <v>1052314.96</v>
      </c>
      <c r="G18" s="75">
        <f t="shared" si="5"/>
        <v>328036.8</v>
      </c>
      <c r="H18" s="75">
        <f t="shared" si="5"/>
        <v>1380351.76</v>
      </c>
      <c r="I18" s="75"/>
      <c r="J18" s="75"/>
      <c r="K18" s="75"/>
      <c r="L18" s="75">
        <f>SUM(L6:L17)</f>
        <v>313136</v>
      </c>
      <c r="M18" s="75">
        <f>SUM(M6:M17)</f>
        <v>269763.08999999997</v>
      </c>
      <c r="N18" s="75">
        <f>SUM(N6:N17)</f>
        <v>360000</v>
      </c>
      <c r="O18" s="75">
        <f>SUM(O6:O17)</f>
        <v>986450.09</v>
      </c>
      <c r="P18" s="75">
        <f>SUM(P6:P17)</f>
        <v>-927570.97</v>
      </c>
      <c r="Q18" s="57"/>
      <c r="R18" s="57"/>
      <c r="S18" s="57"/>
      <c r="T18" s="57"/>
      <c r="U18" s="57"/>
      <c r="V18" s="57"/>
      <c r="W18" s="76">
        <f>SUM(W15:W17)</f>
        <v>423666</v>
      </c>
    </row>
    <row r="19" spans="1:23" s="85" customFormat="1" thickBot="1">
      <c r="A19" s="77" t="s">
        <v>262</v>
      </c>
      <c r="B19" s="78">
        <f t="shared" ref="B19:H19" si="6">B18+B5</f>
        <v>114436.37</v>
      </c>
      <c r="C19" s="78">
        <f t="shared" si="6"/>
        <v>1411981.5099999998</v>
      </c>
      <c r="D19" s="78">
        <f t="shared" si="6"/>
        <v>17406</v>
      </c>
      <c r="E19" s="79">
        <f t="shared" si="6"/>
        <v>1526417.88</v>
      </c>
      <c r="F19" s="80">
        <f t="shared" si="6"/>
        <v>1115206.72</v>
      </c>
      <c r="G19" s="80">
        <f t="shared" si="6"/>
        <v>408036.8</v>
      </c>
      <c r="H19" s="80">
        <f t="shared" si="6"/>
        <v>1523243.52</v>
      </c>
      <c r="I19" s="80"/>
      <c r="J19" s="80"/>
      <c r="K19" s="80"/>
      <c r="L19" s="80">
        <f>L18+L5</f>
        <v>427653.6</v>
      </c>
      <c r="M19" s="80">
        <f>M18+M5</f>
        <v>320283.21999999997</v>
      </c>
      <c r="N19" s="80"/>
      <c r="O19" s="80">
        <f>O18+O5</f>
        <v>1363266.46</v>
      </c>
      <c r="P19" s="80">
        <f>P18+P5</f>
        <v>-1360092.1</v>
      </c>
      <c r="Q19" s="81"/>
      <c r="R19" s="81"/>
      <c r="S19" s="82"/>
      <c r="T19" s="82"/>
      <c r="U19" s="82"/>
      <c r="V19" s="83">
        <f>V16</f>
        <v>946500</v>
      </c>
      <c r="W19" s="84"/>
    </row>
    <row r="20" spans="1:23">
      <c r="P20" s="42">
        <f>E19-H19-O19</f>
        <v>-1360092.1</v>
      </c>
    </row>
    <row r="23" spans="1:23">
      <c r="C23" s="42" t="s">
        <v>263</v>
      </c>
    </row>
    <row r="27" spans="1:23" ht="22.2">
      <c r="A27" s="243" t="s">
        <v>264</v>
      </c>
      <c r="B27" s="243"/>
      <c r="C27" s="243"/>
      <c r="D27" s="243"/>
      <c r="E27" s="243"/>
      <c r="F27" s="243"/>
      <c r="G27" s="243"/>
      <c r="H27" s="243"/>
      <c r="I27" s="244" t="s">
        <v>265</v>
      </c>
      <c r="J27" s="245"/>
      <c r="K27" s="245"/>
      <c r="L27" s="245"/>
      <c r="M27" s="245"/>
      <c r="N27" s="245"/>
      <c r="O27" s="246"/>
    </row>
    <row r="28" spans="1:23" ht="17.399999999999999">
      <c r="A28" s="86" t="s">
        <v>266</v>
      </c>
      <c r="B28" s="86" t="s">
        <v>267</v>
      </c>
      <c r="C28" s="86" t="s">
        <v>268</v>
      </c>
      <c r="D28" s="86"/>
      <c r="E28" s="86" t="s">
        <v>269</v>
      </c>
      <c r="F28" s="86" t="s">
        <v>270</v>
      </c>
      <c r="G28" s="86" t="s">
        <v>267</v>
      </c>
      <c r="H28" s="86" t="s">
        <v>85</v>
      </c>
      <c r="I28" s="86" t="s">
        <v>268</v>
      </c>
      <c r="J28" s="86" t="s">
        <v>269</v>
      </c>
      <c r="K28" s="86" t="s">
        <v>270</v>
      </c>
      <c r="L28" s="86" t="s">
        <v>267</v>
      </c>
      <c r="M28" s="86" t="s">
        <v>271</v>
      </c>
      <c r="N28" s="86"/>
      <c r="O28" s="87" t="s">
        <v>85</v>
      </c>
    </row>
    <row r="29" spans="1:23" ht="17.399999999999999">
      <c r="A29" s="88" t="s">
        <v>272</v>
      </c>
      <c r="B29" s="88">
        <v>16000</v>
      </c>
      <c r="C29" s="89" t="s">
        <v>273</v>
      </c>
      <c r="D29" s="89"/>
      <c r="E29" s="89" t="s">
        <v>274</v>
      </c>
      <c r="F29" s="90">
        <v>5</v>
      </c>
      <c r="G29" s="91">
        <f t="shared" ref="G29:G35" si="7">F29*B29</f>
        <v>80000</v>
      </c>
      <c r="H29" s="90"/>
      <c r="I29" s="89" t="s">
        <v>275</v>
      </c>
      <c r="J29" s="89" t="s">
        <v>276</v>
      </c>
      <c r="K29" s="90">
        <v>6</v>
      </c>
      <c r="L29" s="91">
        <f t="shared" ref="L29:L35" si="8">K29*B29</f>
        <v>96000</v>
      </c>
      <c r="M29" s="92">
        <f t="shared" ref="M29:M35" si="9">L29+G29</f>
        <v>176000</v>
      </c>
      <c r="N29" s="92"/>
      <c r="O29" s="93" t="s">
        <v>277</v>
      </c>
    </row>
    <row r="30" spans="1:23" ht="15" customHeight="1">
      <c r="A30" s="88" t="s">
        <v>278</v>
      </c>
      <c r="B30" s="88">
        <v>16000</v>
      </c>
      <c r="C30" s="89" t="s">
        <v>273</v>
      </c>
      <c r="D30" s="89"/>
      <c r="E30" s="89" t="s">
        <v>274</v>
      </c>
      <c r="F30" s="90">
        <v>5</v>
      </c>
      <c r="G30" s="91">
        <v>80000</v>
      </c>
      <c r="H30" s="90" t="s">
        <v>279</v>
      </c>
      <c r="I30" s="89" t="s">
        <v>280</v>
      </c>
      <c r="J30" s="89" t="s">
        <v>276</v>
      </c>
      <c r="K30" s="90">
        <v>5</v>
      </c>
      <c r="L30" s="91">
        <f t="shared" si="8"/>
        <v>80000</v>
      </c>
      <c r="M30" s="92">
        <f>L30</f>
        <v>80000</v>
      </c>
      <c r="N30" s="92"/>
      <c r="O30" s="94" t="s">
        <v>281</v>
      </c>
    </row>
    <row r="31" spans="1:23" ht="21" hidden="1" customHeight="1">
      <c r="A31" s="95" t="s">
        <v>282</v>
      </c>
      <c r="B31" s="88">
        <v>4000</v>
      </c>
      <c r="C31" s="89" t="s">
        <v>283</v>
      </c>
      <c r="D31" s="89"/>
      <c r="E31" s="89" t="s">
        <v>274</v>
      </c>
      <c r="F31" s="90">
        <v>5</v>
      </c>
      <c r="G31" s="91">
        <f t="shared" si="7"/>
        <v>20000</v>
      </c>
      <c r="H31" s="90"/>
      <c r="I31" s="89" t="s">
        <v>275</v>
      </c>
      <c r="J31" s="89" t="s">
        <v>284</v>
      </c>
      <c r="K31" s="90">
        <v>7</v>
      </c>
      <c r="L31" s="91">
        <f t="shared" si="8"/>
        <v>28000</v>
      </c>
      <c r="M31" s="92">
        <f t="shared" si="9"/>
        <v>48000</v>
      </c>
      <c r="N31" s="92"/>
      <c r="O31" s="94" t="s">
        <v>285</v>
      </c>
    </row>
    <row r="32" spans="1:23" ht="21" hidden="1" customHeight="1">
      <c r="A32" s="88" t="s">
        <v>286</v>
      </c>
      <c r="B32" s="88">
        <v>6000</v>
      </c>
      <c r="C32" s="89" t="s">
        <v>273</v>
      </c>
      <c r="D32" s="89"/>
      <c r="E32" s="89" t="s">
        <v>274</v>
      </c>
      <c r="F32" s="90">
        <v>5</v>
      </c>
      <c r="G32" s="91">
        <f t="shared" si="7"/>
        <v>30000</v>
      </c>
      <c r="H32" s="90"/>
      <c r="I32" s="89" t="s">
        <v>275</v>
      </c>
      <c r="J32" s="89" t="s">
        <v>284</v>
      </c>
      <c r="K32" s="90">
        <v>8</v>
      </c>
      <c r="L32" s="91">
        <f t="shared" si="8"/>
        <v>48000</v>
      </c>
      <c r="M32" s="92">
        <f t="shared" si="9"/>
        <v>78000</v>
      </c>
      <c r="N32" s="92"/>
      <c r="O32" s="94" t="s">
        <v>279</v>
      </c>
    </row>
    <row r="33" spans="1:15" ht="17.399999999999999" hidden="1">
      <c r="A33" s="88" t="s">
        <v>287</v>
      </c>
      <c r="B33" s="88">
        <v>4000</v>
      </c>
      <c r="C33" s="89" t="s">
        <v>273</v>
      </c>
      <c r="D33" s="89"/>
      <c r="E33" s="89" t="s">
        <v>274</v>
      </c>
      <c r="F33" s="90">
        <v>5</v>
      </c>
      <c r="G33" s="91">
        <f t="shared" si="7"/>
        <v>20000</v>
      </c>
      <c r="H33" s="90" t="s">
        <v>279</v>
      </c>
      <c r="I33" s="89" t="s">
        <v>275</v>
      </c>
      <c r="J33" s="89" t="s">
        <v>284</v>
      </c>
      <c r="K33" s="90">
        <v>8</v>
      </c>
      <c r="L33" s="91">
        <f t="shared" si="8"/>
        <v>32000</v>
      </c>
      <c r="M33" s="92">
        <f>L33</f>
        <v>32000</v>
      </c>
      <c r="N33" s="92"/>
      <c r="O33" s="94"/>
    </row>
    <row r="34" spans="1:15" ht="17.399999999999999" hidden="1">
      <c r="A34" s="88" t="s">
        <v>288</v>
      </c>
      <c r="B34" s="88">
        <v>2000</v>
      </c>
      <c r="C34" s="89" t="s">
        <v>273</v>
      </c>
      <c r="D34" s="89"/>
      <c r="E34" s="89" t="s">
        <v>274</v>
      </c>
      <c r="F34" s="90">
        <v>5</v>
      </c>
      <c r="G34" s="91">
        <f t="shared" si="7"/>
        <v>10000</v>
      </c>
      <c r="H34" s="90" t="s">
        <v>279</v>
      </c>
      <c r="I34" s="89" t="s">
        <v>275</v>
      </c>
      <c r="J34" s="89" t="s">
        <v>284</v>
      </c>
      <c r="K34" s="90">
        <v>8</v>
      </c>
      <c r="L34" s="91">
        <f t="shared" si="8"/>
        <v>16000</v>
      </c>
      <c r="M34" s="92">
        <f>L34</f>
        <v>16000</v>
      </c>
      <c r="N34" s="92"/>
      <c r="O34" s="94"/>
    </row>
    <row r="35" spans="1:15" ht="17.399999999999999" hidden="1">
      <c r="A35" s="88" t="s">
        <v>289</v>
      </c>
      <c r="B35" s="88">
        <v>4000</v>
      </c>
      <c r="C35" s="89" t="s">
        <v>273</v>
      </c>
      <c r="D35" s="89"/>
      <c r="E35" s="89" t="s">
        <v>274</v>
      </c>
      <c r="F35" s="90">
        <v>5</v>
      </c>
      <c r="G35" s="91">
        <f t="shared" si="7"/>
        <v>20000</v>
      </c>
      <c r="H35" s="90"/>
      <c r="I35" s="89" t="s">
        <v>275</v>
      </c>
      <c r="J35" s="89" t="s">
        <v>284</v>
      </c>
      <c r="K35" s="90">
        <v>8</v>
      </c>
      <c r="L35" s="91">
        <f t="shared" si="8"/>
        <v>32000</v>
      </c>
      <c r="M35" s="92">
        <f t="shared" si="9"/>
        <v>52000</v>
      </c>
      <c r="N35" s="92"/>
      <c r="O35" s="94"/>
    </row>
    <row r="36" spans="1:15" ht="17.399999999999999" hidden="1">
      <c r="A36" s="88" t="s">
        <v>290</v>
      </c>
      <c r="B36" s="88">
        <v>3000</v>
      </c>
      <c r="C36" s="89"/>
      <c r="D36" s="89"/>
      <c r="E36" s="89"/>
      <c r="F36" s="90"/>
      <c r="G36" s="91"/>
      <c r="H36" s="90"/>
      <c r="I36" s="89" t="s">
        <v>280</v>
      </c>
      <c r="J36" s="89" t="s">
        <v>276</v>
      </c>
      <c r="K36" s="90"/>
      <c r="L36" s="91">
        <v>5000</v>
      </c>
      <c r="M36" s="92"/>
      <c r="N36" s="92"/>
      <c r="O36" s="93"/>
    </row>
    <row r="37" spans="1:15" ht="17.399999999999999">
      <c r="A37" s="96" t="s">
        <v>262</v>
      </c>
      <c r="B37" s="96"/>
      <c r="C37" s="96"/>
      <c r="D37" s="96"/>
      <c r="E37" s="96"/>
      <c r="F37" s="96"/>
      <c r="G37" s="96">
        <f>SUM(G29:G36)</f>
        <v>260000</v>
      </c>
      <c r="H37" s="96"/>
      <c r="I37" s="96"/>
      <c r="J37" s="96"/>
      <c r="K37" s="96"/>
      <c r="L37" s="96">
        <f>SUM(L29:L36)</f>
        <v>337000</v>
      </c>
      <c r="M37" s="96">
        <v>288000</v>
      </c>
      <c r="N37" s="96"/>
      <c r="O37" s="90" t="s">
        <v>291</v>
      </c>
    </row>
  </sheetData>
  <mergeCells count="12">
    <mergeCell ref="A27:H27"/>
    <mergeCell ref="I27:O27"/>
    <mergeCell ref="A1:W1"/>
    <mergeCell ref="A2:A4"/>
    <mergeCell ref="B2:E3"/>
    <mergeCell ref="F2:O2"/>
    <mergeCell ref="P2:P4"/>
    <mergeCell ref="Q2:S3"/>
    <mergeCell ref="T2:V3"/>
    <mergeCell ref="W2:W3"/>
    <mergeCell ref="F3:H3"/>
    <mergeCell ref="I3:O3"/>
  </mergeCells>
  <phoneticPr fontId="3" type="noConversion"/>
  <pageMargins left="0.75" right="0.75" top="1" bottom="1" header="0.5" footer="0.5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A734A-0658-4FB9-88CD-1928AC19ED51}">
  <dimension ref="A1:AC36"/>
  <sheetViews>
    <sheetView zoomScale="85" zoomScaleNormal="85" workbookViewId="0">
      <pane xSplit="1" ySplit="4" topLeftCell="B8" activePane="bottomRight" state="frozen"/>
      <selection pane="topRight" activeCell="B1" sqref="B1"/>
      <selection pane="bottomLeft" activeCell="A5" sqref="A5"/>
      <selection pane="bottomRight" activeCell="Q21" sqref="Q21"/>
    </sheetView>
  </sheetViews>
  <sheetFormatPr defaultColWidth="8.88671875" defaultRowHeight="13.8"/>
  <cols>
    <col min="1" max="1" width="12.109375" style="42" customWidth="1"/>
    <col min="2" max="2" width="12.88671875" style="42" customWidth="1"/>
    <col min="3" max="3" width="10.5546875" style="42" customWidth="1"/>
    <col min="4" max="4" width="12.109375" style="42" customWidth="1"/>
    <col min="5" max="5" width="11.88671875" style="42" customWidth="1"/>
    <col min="6" max="7" width="10.109375" style="42" customWidth="1"/>
    <col min="8" max="8" width="10.33203125" style="42" customWidth="1"/>
    <col min="9" max="9" width="11.21875" style="42" customWidth="1"/>
    <col min="10" max="10" width="8.6640625" style="42" customWidth="1"/>
    <col min="11" max="13" width="9.21875" style="42" bestFit="1" customWidth="1"/>
    <col min="14" max="14" width="9.21875" style="42" customWidth="1"/>
    <col min="15" max="15" width="9.6640625" style="42" customWidth="1"/>
    <col min="16" max="16" width="10.44140625" style="42" customWidth="1"/>
    <col min="17" max="17" width="10.21875" style="42" customWidth="1"/>
    <col min="18" max="18" width="10.109375" style="42" customWidth="1"/>
    <col min="19" max="19" width="9.109375" style="42" bestFit="1" customWidth="1"/>
    <col min="20" max="20" width="11.33203125" style="42" customWidth="1"/>
    <col min="21" max="21" width="8.88671875" style="42"/>
    <col min="22" max="22" width="11" style="42" customWidth="1"/>
    <col min="23" max="23" width="11.33203125" style="42" customWidth="1"/>
    <col min="24" max="24" width="9.21875" style="42" bestFit="1" customWidth="1"/>
    <col min="25" max="25" width="9.21875" style="42" customWidth="1"/>
    <col min="26" max="26" width="10.88671875" style="42" customWidth="1"/>
    <col min="27" max="27" width="11.88671875" style="42" customWidth="1"/>
    <col min="28" max="28" width="11.44140625" style="42" customWidth="1"/>
    <col min="29" max="16384" width="8.88671875" style="42"/>
  </cols>
  <sheetData>
    <row r="1" spans="1:29" ht="25.2" thickBot="1">
      <c r="A1" s="276" t="s">
        <v>292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</row>
    <row r="2" spans="1:29" ht="15">
      <c r="A2" s="277" t="s">
        <v>235</v>
      </c>
      <c r="B2" s="300" t="s">
        <v>236</v>
      </c>
      <c r="C2" s="301"/>
      <c r="D2" s="301"/>
      <c r="E2" s="302"/>
      <c r="F2" s="280" t="s">
        <v>237</v>
      </c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2"/>
      <c r="W2" s="283" t="s">
        <v>238</v>
      </c>
      <c r="X2" s="286" t="s">
        <v>240</v>
      </c>
      <c r="Y2" s="287"/>
      <c r="Z2" s="288"/>
      <c r="AA2" s="292" t="s">
        <v>241</v>
      </c>
      <c r="AB2" s="42" t="s">
        <v>636</v>
      </c>
    </row>
    <row r="3" spans="1:29" ht="15.6">
      <c r="A3" s="278"/>
      <c r="B3" s="298" t="s">
        <v>244</v>
      </c>
      <c r="C3" s="299"/>
      <c r="D3" s="303" t="s">
        <v>245</v>
      </c>
      <c r="E3" s="303" t="s">
        <v>8</v>
      </c>
      <c r="F3" s="261" t="s">
        <v>528</v>
      </c>
      <c r="G3" s="261"/>
      <c r="H3" s="261"/>
      <c r="I3" s="261"/>
      <c r="J3" s="295" t="s">
        <v>243</v>
      </c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7"/>
      <c r="W3" s="284"/>
      <c r="X3" s="289"/>
      <c r="Y3" s="290"/>
      <c r="Z3" s="291"/>
      <c r="AA3" s="293"/>
      <c r="AB3" s="43"/>
    </row>
    <row r="4" spans="1:29" ht="31.2" customHeight="1" thickBot="1">
      <c r="A4" s="279"/>
      <c r="B4" s="97" t="s">
        <v>496</v>
      </c>
      <c r="C4" s="203" t="s">
        <v>497</v>
      </c>
      <c r="D4" s="304"/>
      <c r="E4" s="304"/>
      <c r="F4" s="98" t="s">
        <v>293</v>
      </c>
      <c r="G4" s="80" t="s">
        <v>294</v>
      </c>
      <c r="H4" s="80" t="s">
        <v>248</v>
      </c>
      <c r="I4" s="80" t="s">
        <v>8</v>
      </c>
      <c r="J4" s="80" t="s">
        <v>295</v>
      </c>
      <c r="K4" s="80" t="s">
        <v>296</v>
      </c>
      <c r="L4" s="80" t="s">
        <v>297</v>
      </c>
      <c r="M4" s="80" t="s">
        <v>298</v>
      </c>
      <c r="N4" s="80" t="s">
        <v>633</v>
      </c>
      <c r="O4" s="98" t="s">
        <v>498</v>
      </c>
      <c r="P4" s="80" t="s">
        <v>250</v>
      </c>
      <c r="Q4" s="99" t="s">
        <v>575</v>
      </c>
      <c r="R4" s="80" t="s">
        <v>299</v>
      </c>
      <c r="S4" s="80" t="s">
        <v>253</v>
      </c>
      <c r="T4" s="80" t="s">
        <v>300</v>
      </c>
      <c r="U4" s="80" t="s">
        <v>301</v>
      </c>
      <c r="V4" s="80" t="s">
        <v>8</v>
      </c>
      <c r="W4" s="285"/>
      <c r="X4" s="81" t="s">
        <v>635</v>
      </c>
      <c r="Y4" s="81" t="s">
        <v>301</v>
      </c>
      <c r="Z4" s="81" t="s">
        <v>302</v>
      </c>
      <c r="AA4" s="294"/>
      <c r="AB4" s="50"/>
    </row>
    <row r="5" spans="1:29" ht="17.399999999999999">
      <c r="A5" s="100" t="s">
        <v>303</v>
      </c>
      <c r="B5" s="101">
        <v>114436.37</v>
      </c>
      <c r="C5" s="200"/>
      <c r="D5" s="52">
        <v>1411981.11</v>
      </c>
      <c r="E5" s="53">
        <f t="shared" ref="E5" si="0">B5+D5</f>
        <v>1526417.48</v>
      </c>
      <c r="F5" s="53">
        <v>1052314.96</v>
      </c>
      <c r="G5" s="53"/>
      <c r="H5" s="53">
        <v>238036.8</v>
      </c>
      <c r="I5" s="53">
        <v>1523243.52</v>
      </c>
      <c r="J5" s="53">
        <v>0</v>
      </c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>
        <v>1363266.46</v>
      </c>
      <c r="W5" s="53">
        <v>-1360092.1</v>
      </c>
      <c r="X5" s="53"/>
      <c r="Y5" s="53"/>
      <c r="Z5" s="53">
        <v>978500</v>
      </c>
      <c r="AA5" s="54"/>
      <c r="AB5" s="43"/>
    </row>
    <row r="6" spans="1:29" ht="17.399999999999999">
      <c r="A6" s="102">
        <v>1</v>
      </c>
      <c r="B6" s="103">
        <v>0</v>
      </c>
      <c r="C6" s="201">
        <v>0</v>
      </c>
      <c r="D6" s="56">
        <f>39940+133271.2+26900.63</f>
        <v>200111.83000000002</v>
      </c>
      <c r="E6" s="106">
        <f>B6+C6+D6</f>
        <v>200111.83000000002</v>
      </c>
      <c r="F6" s="57">
        <v>50040.37</v>
      </c>
      <c r="G6" s="57">
        <f>150+18084.8+22182.27+3295.88</f>
        <v>43712.95</v>
      </c>
      <c r="H6" s="57">
        <v>0</v>
      </c>
      <c r="I6" s="57">
        <f>F6+G6+H6</f>
        <v>93753.32</v>
      </c>
      <c r="J6" s="57">
        <f>21.6+30</f>
        <v>51.6</v>
      </c>
      <c r="K6" s="57">
        <f>17.86+0.88</f>
        <v>18.739999999999998</v>
      </c>
      <c r="L6" s="57">
        <v>0</v>
      </c>
      <c r="M6" s="57">
        <v>0</v>
      </c>
      <c r="N6" s="57">
        <v>0</v>
      </c>
      <c r="O6" s="57">
        <v>0</v>
      </c>
      <c r="P6" s="57">
        <v>0</v>
      </c>
      <c r="Q6" s="57">
        <v>553</v>
      </c>
      <c r="R6" s="57">
        <v>3357</v>
      </c>
      <c r="S6" s="57">
        <v>51.6</v>
      </c>
      <c r="T6" s="57">
        <v>0</v>
      </c>
      <c r="U6" s="57">
        <f>6318.14</f>
        <v>6318.14</v>
      </c>
      <c r="V6" s="57">
        <f t="shared" ref="V6:V14" si="1">SUM(J6:U6)</f>
        <v>10350.08</v>
      </c>
      <c r="W6" s="57">
        <f t="shared" ref="W6:W14" si="2">E6-I6-V6</f>
        <v>96008.430000000008</v>
      </c>
      <c r="X6" s="57">
        <v>65000</v>
      </c>
      <c r="Y6" s="57">
        <v>51000</v>
      </c>
      <c r="Z6" s="57">
        <f>Z5+X6+Y6-AA6</f>
        <v>894388.16999999993</v>
      </c>
      <c r="AA6" s="58">
        <f>D6-T6</f>
        <v>200111.83000000002</v>
      </c>
      <c r="AC6" s="232" t="s">
        <v>242</v>
      </c>
    </row>
    <row r="7" spans="1:29" ht="17.399999999999999">
      <c r="A7" s="104">
        <v>2</v>
      </c>
      <c r="B7" s="105">
        <v>0</v>
      </c>
      <c r="C7" s="202">
        <v>0</v>
      </c>
      <c r="D7" s="60">
        <v>6900</v>
      </c>
      <c r="E7" s="61">
        <f>B7+C7+D7</f>
        <v>6900</v>
      </c>
      <c r="F7" s="62">
        <v>46864.32</v>
      </c>
      <c r="G7" s="62">
        <v>21736.76</v>
      </c>
      <c r="H7" s="62">
        <v>0</v>
      </c>
      <c r="I7" s="62">
        <f>F7+G7+H7</f>
        <v>68601.08</v>
      </c>
      <c r="J7" s="62">
        <v>30</v>
      </c>
      <c r="K7" s="62">
        <v>25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6906.7</v>
      </c>
      <c r="S7" s="62">
        <v>0</v>
      </c>
      <c r="T7" s="62">
        <v>0</v>
      </c>
      <c r="U7" s="62">
        <v>0</v>
      </c>
      <c r="V7" s="62">
        <f t="shared" si="1"/>
        <v>6961.7</v>
      </c>
      <c r="W7" s="63">
        <f t="shared" si="2"/>
        <v>-68662.78</v>
      </c>
      <c r="X7" s="64">
        <f>13000+2000+41000</f>
        <v>56000</v>
      </c>
      <c r="Y7" s="64">
        <v>13000</v>
      </c>
      <c r="Z7" s="64">
        <f t="shared" ref="Z7" si="3">Z6+X7+Y7-AA7</f>
        <v>956488.16999999993</v>
      </c>
      <c r="AA7" s="66">
        <f>D7-T7</f>
        <v>6900</v>
      </c>
    </row>
    <row r="8" spans="1:29" ht="17.399999999999999">
      <c r="A8" s="102">
        <v>3</v>
      </c>
      <c r="B8" s="103">
        <f>7340+14925+21585+27171.75+1990+2000+8749.88+5763.75</f>
        <v>89525.38</v>
      </c>
      <c r="C8" s="201">
        <v>0</v>
      </c>
      <c r="D8" s="56">
        <f>49785</f>
        <v>49785</v>
      </c>
      <c r="E8" s="106">
        <f t="shared" ref="E8:E14" si="4">B8+C8+D8</f>
        <v>139310.38</v>
      </c>
      <c r="F8" s="57">
        <v>28003.75</v>
      </c>
      <c r="G8" s="57">
        <v>0</v>
      </c>
      <c r="H8" s="57">
        <v>0</v>
      </c>
      <c r="I8" s="57">
        <f>F8+G8+H8</f>
        <v>28003.75</v>
      </c>
      <c r="J8" s="57">
        <f>70.2+300+30</f>
        <v>400.2</v>
      </c>
      <c r="K8" s="57">
        <v>25</v>
      </c>
      <c r="L8" s="57">
        <v>3938</v>
      </c>
      <c r="M8" s="57">
        <f>78000</f>
        <v>78000</v>
      </c>
      <c r="N8" s="57">
        <v>0</v>
      </c>
      <c r="O8" s="57">
        <f>358+12+7394.78</f>
        <v>7764.78</v>
      </c>
      <c r="P8" s="57">
        <v>0</v>
      </c>
      <c r="Q8" s="57">
        <v>0</v>
      </c>
      <c r="R8" s="57">
        <f>574.9+9084.78+445.3</f>
        <v>10104.98</v>
      </c>
      <c r="S8" s="57">
        <f>253.52+610.4</f>
        <v>863.92</v>
      </c>
      <c r="T8" s="57">
        <v>1520</v>
      </c>
      <c r="U8" s="57">
        <v>8124.51</v>
      </c>
      <c r="V8" s="57">
        <f t="shared" si="1"/>
        <v>110741.38999999998</v>
      </c>
      <c r="W8" s="57">
        <f t="shared" si="2"/>
        <v>565.24000000001979</v>
      </c>
      <c r="X8" s="57">
        <v>100000</v>
      </c>
      <c r="Y8" s="57">
        <v>12000</v>
      </c>
      <c r="Z8" s="57">
        <f>Z7+X8+Y8</f>
        <v>1068488.17</v>
      </c>
      <c r="AA8" s="58">
        <f t="shared" ref="AA8:AA13" si="5">D8</f>
        <v>49785</v>
      </c>
      <c r="AB8" s="43"/>
    </row>
    <row r="9" spans="1:29" ht="17.399999999999999">
      <c r="A9" s="104">
        <v>4</v>
      </c>
      <c r="B9" s="105">
        <v>33460</v>
      </c>
      <c r="C9" s="202">
        <v>0</v>
      </c>
      <c r="D9" s="60">
        <v>690</v>
      </c>
      <c r="E9" s="61">
        <f t="shared" si="4"/>
        <v>34150</v>
      </c>
      <c r="F9" s="62">
        <v>67337.84</v>
      </c>
      <c r="G9" s="62">
        <v>0</v>
      </c>
      <c r="H9" s="62">
        <v>0</v>
      </c>
      <c r="I9" s="62">
        <f>F9+G9+H9</f>
        <v>67337.84</v>
      </c>
      <c r="J9" s="62">
        <f>64.8+30</f>
        <v>94.8</v>
      </c>
      <c r="K9" s="62">
        <f>26.27+2.64+25+2</f>
        <v>55.91</v>
      </c>
      <c r="L9" s="62">
        <v>7179.51</v>
      </c>
      <c r="M9" s="62">
        <f>10692.45+100000</f>
        <v>110692.45</v>
      </c>
      <c r="N9" s="62">
        <v>0</v>
      </c>
      <c r="O9" s="62">
        <v>2388</v>
      </c>
      <c r="P9" s="62">
        <v>0</v>
      </c>
      <c r="Q9" s="62">
        <v>0</v>
      </c>
      <c r="R9" s="62">
        <v>0</v>
      </c>
      <c r="S9" s="62">
        <v>0</v>
      </c>
      <c r="T9" s="62">
        <v>0</v>
      </c>
      <c r="U9" s="62">
        <v>0</v>
      </c>
      <c r="V9" s="62">
        <f t="shared" si="1"/>
        <v>120410.67</v>
      </c>
      <c r="W9" s="63">
        <f t="shared" si="2"/>
        <v>-153598.51</v>
      </c>
      <c r="X9" s="64">
        <f>30000+100000</f>
        <v>130000</v>
      </c>
      <c r="Y9" s="64">
        <v>0</v>
      </c>
      <c r="Z9" s="64">
        <f t="shared" ref="Z9:Z14" si="6">Z8+X9+Y9</f>
        <v>1198488.17</v>
      </c>
      <c r="AA9" s="66">
        <f t="shared" si="5"/>
        <v>690</v>
      </c>
      <c r="AB9" s="43"/>
    </row>
    <row r="10" spans="1:29" ht="17.399999999999999">
      <c r="A10" s="102">
        <v>5</v>
      </c>
      <c r="B10" s="103">
        <f>1000+4296.75+1450+10380+12180+92+4662</f>
        <v>34060.75</v>
      </c>
      <c r="C10" s="201">
        <v>0</v>
      </c>
      <c r="D10" s="56">
        <v>0</v>
      </c>
      <c r="E10" s="106">
        <f t="shared" si="4"/>
        <v>34060.75</v>
      </c>
      <c r="F10" s="57">
        <v>35067.17</v>
      </c>
      <c r="G10" s="57">
        <v>0</v>
      </c>
      <c r="H10" s="57">
        <v>3748.75</v>
      </c>
      <c r="I10" s="106">
        <f t="shared" ref="I10:I14" si="7">F10+G10+H10</f>
        <v>38815.919999999998</v>
      </c>
      <c r="J10" s="57">
        <f>55.8+30</f>
        <v>85.8</v>
      </c>
      <c r="K10" s="57">
        <f>0.88+13.13+25</f>
        <v>39.010000000000005</v>
      </c>
      <c r="L10" s="57">
        <v>6947.92</v>
      </c>
      <c r="M10" s="57">
        <f>611.3+134000</f>
        <v>134611.29999999999</v>
      </c>
      <c r="N10" s="57">
        <v>0</v>
      </c>
      <c r="O10" s="57">
        <v>3180</v>
      </c>
      <c r="P10" s="57">
        <v>0</v>
      </c>
      <c r="Q10" s="57">
        <v>901.1</v>
      </c>
      <c r="R10" s="57">
        <f>307+2000+1600+15865</f>
        <v>19772</v>
      </c>
      <c r="S10" s="57">
        <v>28.9</v>
      </c>
      <c r="T10" s="57">
        <v>0</v>
      </c>
      <c r="U10" s="57">
        <v>0</v>
      </c>
      <c r="V10" s="106">
        <f t="shared" si="1"/>
        <v>165566.03</v>
      </c>
      <c r="W10" s="106">
        <f t="shared" si="2"/>
        <v>-170321.2</v>
      </c>
      <c r="X10" s="57">
        <f>130000+20000+16000</f>
        <v>166000</v>
      </c>
      <c r="Y10" s="57">
        <v>0</v>
      </c>
      <c r="Z10" s="57">
        <f t="shared" si="6"/>
        <v>1364488.17</v>
      </c>
      <c r="AA10" s="205">
        <f t="shared" si="5"/>
        <v>0</v>
      </c>
      <c r="AB10" s="43"/>
    </row>
    <row r="11" spans="1:29" ht="17.399999999999999">
      <c r="A11" s="104">
        <v>6</v>
      </c>
      <c r="B11" s="105">
        <f>6900+56088.75+365+13800+4072+8900+241.67+249.72+1.34</f>
        <v>90618.48</v>
      </c>
      <c r="C11" s="202">
        <f>365</f>
        <v>365</v>
      </c>
      <c r="D11" s="60">
        <f>3000+100+200+100+2000+100000+184328.8</f>
        <v>289728.8</v>
      </c>
      <c r="E11" s="61">
        <f t="shared" si="4"/>
        <v>380712.27999999997</v>
      </c>
      <c r="F11" s="62">
        <f>34688.13+11940+17.14</f>
        <v>46645.27</v>
      </c>
      <c r="G11" s="62">
        <v>0</v>
      </c>
      <c r="H11" s="62">
        <v>0</v>
      </c>
      <c r="I11" s="62">
        <f t="shared" si="7"/>
        <v>46645.27</v>
      </c>
      <c r="J11" s="62">
        <f>30+81+5</f>
        <v>116</v>
      </c>
      <c r="K11" s="62">
        <f>35.86+2.64+25</f>
        <v>63.5</v>
      </c>
      <c r="L11" s="62">
        <v>7179.51</v>
      </c>
      <c r="M11" s="62">
        <v>0</v>
      </c>
      <c r="N11" s="62">
        <v>0</v>
      </c>
      <c r="O11" s="62">
        <v>0</v>
      </c>
      <c r="P11" s="62">
        <v>0</v>
      </c>
      <c r="Q11" s="62">
        <f>559.3</f>
        <v>559.29999999999995</v>
      </c>
      <c r="R11" s="62">
        <f>2334+1335.8</f>
        <v>3669.8</v>
      </c>
      <c r="S11" s="62">
        <f>4000+1050+2400+304.5</f>
        <v>7754.5</v>
      </c>
      <c r="T11" s="62">
        <f>2985</f>
        <v>2985</v>
      </c>
      <c r="U11" s="62">
        <v>7630</v>
      </c>
      <c r="V11" s="62">
        <f t="shared" si="1"/>
        <v>29957.61</v>
      </c>
      <c r="W11" s="63">
        <f t="shared" si="2"/>
        <v>304109.39999999997</v>
      </c>
      <c r="X11" s="64">
        <f>4000-20000</f>
        <v>-16000</v>
      </c>
      <c r="Y11" s="64">
        <v>0</v>
      </c>
      <c r="Z11" s="64">
        <f t="shared" si="6"/>
        <v>1348488.17</v>
      </c>
      <c r="AA11" s="66">
        <f t="shared" si="5"/>
        <v>289728.8</v>
      </c>
      <c r="AB11" s="43"/>
    </row>
    <row r="12" spans="1:29" ht="17.399999999999999">
      <c r="A12" s="102">
        <v>7</v>
      </c>
      <c r="B12" s="103">
        <f>1990+15210+5000+40695+110000+14580+43335+241.67</f>
        <v>231051.67</v>
      </c>
      <c r="C12" s="201">
        <v>0</v>
      </c>
      <c r="D12" s="56">
        <f>4900+15920</f>
        <v>20820</v>
      </c>
      <c r="E12" s="57">
        <f t="shared" si="4"/>
        <v>251871.67</v>
      </c>
      <c r="F12" s="57">
        <f>101823.97+9288+905.69</f>
        <v>112017.66</v>
      </c>
      <c r="G12" s="57">
        <v>50000</v>
      </c>
      <c r="H12" s="57">
        <v>0</v>
      </c>
      <c r="I12" s="106">
        <f t="shared" si="7"/>
        <v>162017.66</v>
      </c>
      <c r="J12" s="106">
        <f>68.4+30</f>
        <v>98.4</v>
      </c>
      <c r="K12" s="106">
        <f>22.08+0.88+25</f>
        <v>47.959999999999994</v>
      </c>
      <c r="L12" s="57">
        <v>6947.92</v>
      </c>
      <c r="M12" s="106">
        <v>0</v>
      </c>
      <c r="N12" s="106">
        <v>0</v>
      </c>
      <c r="O12" s="57">
        <v>10000</v>
      </c>
      <c r="P12" s="57">
        <v>0</v>
      </c>
      <c r="Q12" s="57">
        <f>171+745+162+1153</f>
        <v>2231</v>
      </c>
      <c r="R12" s="57">
        <f>169+1150+2709+2982.31</f>
        <v>7010.3099999999995</v>
      </c>
      <c r="S12" s="57">
        <v>182</v>
      </c>
      <c r="T12" s="57">
        <v>0</v>
      </c>
      <c r="U12" s="57">
        <v>9667.65</v>
      </c>
      <c r="V12" s="57">
        <f t="shared" si="1"/>
        <v>36185.24</v>
      </c>
      <c r="W12" s="57">
        <f t="shared" si="2"/>
        <v>53668.770000000011</v>
      </c>
      <c r="X12" s="57">
        <f>20000+80000-70000-120000</f>
        <v>-90000</v>
      </c>
      <c r="Y12" s="57">
        <f>10000+50000</f>
        <v>60000</v>
      </c>
      <c r="Z12" s="57">
        <f t="shared" si="6"/>
        <v>1318488.17</v>
      </c>
      <c r="AA12" s="58">
        <f t="shared" si="5"/>
        <v>20820</v>
      </c>
      <c r="AB12" s="43"/>
    </row>
    <row r="13" spans="1:29" ht="17.399999999999999">
      <c r="A13" s="104">
        <v>8</v>
      </c>
      <c r="B13" s="105">
        <f>10320+9337.5+14900+3450+15600+35505+46404+181160+249.72</f>
        <v>316926.21999999997</v>
      </c>
      <c r="C13" s="202">
        <v>0</v>
      </c>
      <c r="D13" s="60">
        <f>25512+1250+790</f>
        <v>27552</v>
      </c>
      <c r="E13" s="61">
        <f t="shared" si="4"/>
        <v>344478.22</v>
      </c>
      <c r="F13" s="62">
        <f>85026.42+703.48+8217</f>
        <v>93946.9</v>
      </c>
      <c r="G13" s="62">
        <v>15000</v>
      </c>
      <c r="H13" s="62">
        <v>0</v>
      </c>
      <c r="I13" s="62">
        <f t="shared" si="7"/>
        <v>108946.9</v>
      </c>
      <c r="J13" s="62">
        <f>30+48.6</f>
        <v>78.599999999999994</v>
      </c>
      <c r="K13" s="62">
        <f>4.38+25</f>
        <v>29.38</v>
      </c>
      <c r="L13" s="62">
        <v>7179.51</v>
      </c>
      <c r="M13" s="62">
        <v>0</v>
      </c>
      <c r="N13" s="62">
        <f>2166+2320.2</f>
        <v>4486.2</v>
      </c>
      <c r="O13" s="62">
        <f>32.87+1380</f>
        <v>1412.87</v>
      </c>
      <c r="P13" s="62">
        <v>0</v>
      </c>
      <c r="Q13" s="62">
        <v>0</v>
      </c>
      <c r="R13" s="62">
        <f>9028+2492</f>
        <v>11520</v>
      </c>
      <c r="S13" s="62">
        <f>12049.3+104.8</f>
        <v>12154.099999999999</v>
      </c>
      <c r="T13" s="62">
        <v>8840</v>
      </c>
      <c r="U13" s="62">
        <v>13673.27</v>
      </c>
      <c r="V13" s="62">
        <f t="shared" si="1"/>
        <v>59373.929999999993</v>
      </c>
      <c r="W13" s="63">
        <f t="shared" si="2"/>
        <v>176157.38999999998</v>
      </c>
      <c r="X13" s="64">
        <f>75000</f>
        <v>75000</v>
      </c>
      <c r="Y13" s="64">
        <f>5000+7000+15000</f>
        <v>27000</v>
      </c>
      <c r="Z13" s="64">
        <f t="shared" si="6"/>
        <v>1420488.17</v>
      </c>
      <c r="AA13" s="66">
        <f t="shared" si="5"/>
        <v>27552</v>
      </c>
      <c r="AB13" s="43"/>
    </row>
    <row r="14" spans="1:29" ht="17.399999999999999">
      <c r="A14" s="102">
        <v>9</v>
      </c>
      <c r="B14" s="103">
        <f>322724.79+0.4</f>
        <v>322725.19</v>
      </c>
      <c r="C14" s="201">
        <v>0</v>
      </c>
      <c r="D14" s="56">
        <f>13400+200+36000+300</f>
        <v>49900</v>
      </c>
      <c r="E14" s="57">
        <f t="shared" si="4"/>
        <v>372625.19</v>
      </c>
      <c r="F14" s="69">
        <f>71784.19+718.48+8127</f>
        <v>80629.67</v>
      </c>
      <c r="G14" s="69">
        <v>50000</v>
      </c>
      <c r="H14" s="69">
        <v>0</v>
      </c>
      <c r="I14" s="106">
        <f t="shared" si="7"/>
        <v>130629.67</v>
      </c>
      <c r="J14" s="106">
        <f>30+4.5+76.5</f>
        <v>111</v>
      </c>
      <c r="K14" s="106">
        <v>34.64</v>
      </c>
      <c r="L14" s="106">
        <v>7179.51</v>
      </c>
      <c r="M14" s="106">
        <v>0</v>
      </c>
      <c r="N14" s="106">
        <v>2818.5</v>
      </c>
      <c r="O14" s="69">
        <v>7800</v>
      </c>
      <c r="P14" s="69">
        <v>4500</v>
      </c>
      <c r="Q14" s="69">
        <v>7200</v>
      </c>
      <c r="R14" s="69">
        <f>1476.76+4842.8+20766</f>
        <v>27085.56</v>
      </c>
      <c r="S14" s="69">
        <f>1257.46+1080.9+379+1632+20000</f>
        <v>24349.360000000001</v>
      </c>
      <c r="T14" s="69">
        <v>0</v>
      </c>
      <c r="U14" s="69">
        <v>3737.3</v>
      </c>
      <c r="V14" s="57">
        <f t="shared" si="1"/>
        <v>84815.87000000001</v>
      </c>
      <c r="W14" s="57">
        <f t="shared" si="2"/>
        <v>157179.65000000002</v>
      </c>
      <c r="X14" s="69">
        <f>-200000-200000</f>
        <v>-400000</v>
      </c>
      <c r="Y14" s="69">
        <f>5000+50000</f>
        <v>55000</v>
      </c>
      <c r="Z14" s="57">
        <f t="shared" si="6"/>
        <v>1075488.17</v>
      </c>
      <c r="AA14" s="58">
        <f>D14-300</f>
        <v>49600</v>
      </c>
    </row>
    <row r="15" spans="1:29" ht="17.399999999999999">
      <c r="A15" s="104">
        <v>10</v>
      </c>
      <c r="B15" s="105"/>
      <c r="C15" s="202"/>
      <c r="D15" s="60"/>
      <c r="E15" s="61"/>
      <c r="F15" s="71"/>
      <c r="G15" s="71"/>
      <c r="H15" s="71"/>
      <c r="I15" s="62"/>
      <c r="J15" s="62"/>
      <c r="K15" s="62"/>
      <c r="L15" s="62"/>
      <c r="M15" s="62"/>
      <c r="N15" s="62"/>
      <c r="O15" s="71"/>
      <c r="P15" s="71"/>
      <c r="Q15" s="71"/>
      <c r="R15" s="71"/>
      <c r="S15" s="71"/>
      <c r="T15" s="71"/>
      <c r="U15" s="71"/>
      <c r="V15" s="62"/>
      <c r="W15" s="63"/>
      <c r="X15" s="72"/>
      <c r="Y15" s="72"/>
      <c r="Z15" s="64"/>
      <c r="AA15" s="66"/>
    </row>
    <row r="16" spans="1:29" ht="17.399999999999999">
      <c r="A16" s="102">
        <v>11</v>
      </c>
      <c r="B16" s="103"/>
      <c r="C16" s="201"/>
      <c r="D16" s="56"/>
      <c r="E16" s="57"/>
      <c r="F16" s="69"/>
      <c r="G16" s="69"/>
      <c r="H16" s="69"/>
      <c r="I16" s="106"/>
      <c r="J16" s="106"/>
      <c r="K16" s="106"/>
      <c r="L16" s="106"/>
      <c r="M16" s="106"/>
      <c r="N16" s="106"/>
      <c r="O16" s="69"/>
      <c r="P16" s="69"/>
      <c r="Q16" s="69"/>
      <c r="R16" s="69"/>
      <c r="S16" s="69"/>
      <c r="T16" s="69"/>
      <c r="U16" s="69"/>
      <c r="V16" s="57"/>
      <c r="W16" s="57"/>
      <c r="X16" s="69"/>
      <c r="Y16" s="69"/>
      <c r="Z16" s="57"/>
      <c r="AA16" s="58"/>
    </row>
    <row r="17" spans="1:28" ht="17.399999999999999">
      <c r="A17" s="104">
        <v>12</v>
      </c>
      <c r="B17" s="105"/>
      <c r="C17" s="202"/>
      <c r="D17" s="60"/>
      <c r="E17" s="61"/>
      <c r="F17" s="71"/>
      <c r="G17" s="71"/>
      <c r="H17" s="71"/>
      <c r="I17" s="62"/>
      <c r="J17" s="62"/>
      <c r="K17" s="62"/>
      <c r="L17" s="62"/>
      <c r="M17" s="62"/>
      <c r="N17" s="62"/>
      <c r="O17" s="71"/>
      <c r="P17" s="71"/>
      <c r="Q17" s="71"/>
      <c r="R17" s="71"/>
      <c r="S17" s="71"/>
      <c r="T17" s="71"/>
      <c r="U17" s="71"/>
      <c r="V17" s="62"/>
      <c r="W17" s="63"/>
      <c r="X17" s="72"/>
      <c r="Y17" s="72"/>
      <c r="Z17" s="64"/>
      <c r="AA17" s="66"/>
    </row>
    <row r="18" spans="1:28" ht="17.399999999999999">
      <c r="A18" s="108" t="s">
        <v>304</v>
      </c>
      <c r="B18" s="109">
        <f t="shared" ref="B18:I18" si="8">SUM(B6:B17)</f>
        <v>1118367.69</v>
      </c>
      <c r="C18" s="74">
        <f t="shared" si="8"/>
        <v>365</v>
      </c>
      <c r="D18" s="74">
        <f t="shared" si="8"/>
        <v>645487.63</v>
      </c>
      <c r="E18" s="75">
        <f t="shared" si="8"/>
        <v>1764220.3199999998</v>
      </c>
      <c r="F18" s="75">
        <f t="shared" si="8"/>
        <v>560552.95000000007</v>
      </c>
      <c r="G18" s="75">
        <f t="shared" si="8"/>
        <v>180449.71</v>
      </c>
      <c r="H18" s="75">
        <f t="shared" si="8"/>
        <v>3748.75</v>
      </c>
      <c r="I18" s="75">
        <f t="shared" si="8"/>
        <v>744751.41000000015</v>
      </c>
      <c r="J18" s="75"/>
      <c r="K18" s="75"/>
      <c r="L18" s="75"/>
      <c r="M18" s="75"/>
      <c r="N18" s="75"/>
      <c r="O18" s="75"/>
      <c r="P18" s="75"/>
      <c r="Q18" s="75"/>
      <c r="R18" s="75">
        <f>SUM(R6:R17)</f>
        <v>89426.35</v>
      </c>
      <c r="S18" s="75">
        <f>SUM(S6:S17)</f>
        <v>45384.38</v>
      </c>
      <c r="T18" s="75"/>
      <c r="U18" s="75"/>
      <c r="V18" s="75">
        <f>SUM(V6:V17)</f>
        <v>624362.5199999999</v>
      </c>
      <c r="W18" s="75">
        <f>SUM(W6:W17)</f>
        <v>395106.39</v>
      </c>
      <c r="X18" s="75"/>
      <c r="Y18" s="75"/>
      <c r="Z18" s="75"/>
      <c r="AA18" s="76">
        <f>SUM(AA6:AA17)</f>
        <v>645187.63</v>
      </c>
    </row>
    <row r="19" spans="1:28" ht="14.4" thickBot="1">
      <c r="A19" s="110" t="s">
        <v>262</v>
      </c>
      <c r="B19" s="111">
        <f t="shared" ref="B19:I19" si="9">B18+B5</f>
        <v>1232804.06</v>
      </c>
      <c r="C19" s="78">
        <f t="shared" si="9"/>
        <v>365</v>
      </c>
      <c r="D19" s="78">
        <f t="shared" si="9"/>
        <v>2057468.7400000002</v>
      </c>
      <c r="E19" s="79">
        <f t="shared" si="9"/>
        <v>3290637.8</v>
      </c>
      <c r="F19" s="80">
        <f t="shared" si="9"/>
        <v>1612867.9100000001</v>
      </c>
      <c r="G19" s="80">
        <f t="shared" si="9"/>
        <v>180449.71</v>
      </c>
      <c r="H19" s="80">
        <f t="shared" si="9"/>
        <v>241785.55</v>
      </c>
      <c r="I19" s="80">
        <f t="shared" si="9"/>
        <v>2267994.9300000002</v>
      </c>
      <c r="J19" s="80"/>
      <c r="K19" s="80"/>
      <c r="L19" s="80"/>
      <c r="M19" s="80"/>
      <c r="N19" s="80"/>
      <c r="O19" s="80"/>
      <c r="P19" s="80"/>
      <c r="Q19" s="80"/>
      <c r="R19" s="80">
        <f>R18+R5</f>
        <v>89426.35</v>
      </c>
      <c r="S19" s="80">
        <f>S18+S5</f>
        <v>45384.38</v>
      </c>
      <c r="T19" s="80"/>
      <c r="U19" s="80"/>
      <c r="V19" s="80">
        <f>V18+V5</f>
        <v>1987628.98</v>
      </c>
      <c r="W19" s="80">
        <f>W18+W5</f>
        <v>-964985.71000000008</v>
      </c>
      <c r="X19" s="82"/>
      <c r="Y19" s="233"/>
      <c r="Z19" s="112">
        <f>Z16</f>
        <v>0</v>
      </c>
      <c r="AA19" s="84"/>
      <c r="AB19" s="85"/>
    </row>
    <row r="21" spans="1:28" ht="14.4" thickBot="1"/>
    <row r="22" spans="1:28" ht="25.2" customHeight="1" thickBot="1">
      <c r="A22" s="269" t="s">
        <v>305</v>
      </c>
      <c r="B22" s="270"/>
      <c r="C22" s="270"/>
      <c r="D22" s="270"/>
      <c r="E22" s="270"/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1"/>
      <c r="R22" s="206"/>
    </row>
    <row r="23" spans="1:28" ht="25.2" customHeight="1">
      <c r="A23" s="272" t="s">
        <v>235</v>
      </c>
      <c r="B23" s="265" t="s">
        <v>306</v>
      </c>
      <c r="C23" s="263"/>
      <c r="D23" s="264"/>
      <c r="E23" s="262" t="s">
        <v>307</v>
      </c>
      <c r="F23" s="263"/>
      <c r="G23" s="264"/>
      <c r="H23" s="267" t="s">
        <v>308</v>
      </c>
      <c r="I23" s="266" t="s">
        <v>309</v>
      </c>
      <c r="J23" s="263"/>
      <c r="K23" s="264"/>
      <c r="L23" s="262" t="s">
        <v>310</v>
      </c>
      <c r="M23" s="263"/>
      <c r="N23" s="264"/>
      <c r="O23" s="204" t="s">
        <v>311</v>
      </c>
      <c r="P23" s="274" t="s">
        <v>312</v>
      </c>
    </row>
    <row r="24" spans="1:28" ht="22.95" customHeight="1" thickBot="1">
      <c r="A24" s="273"/>
      <c r="B24" s="113" t="s">
        <v>313</v>
      </c>
      <c r="C24" s="114" t="s">
        <v>314</v>
      </c>
      <c r="D24" s="115" t="s">
        <v>315</v>
      </c>
      <c r="E24" s="116" t="s">
        <v>313</v>
      </c>
      <c r="F24" s="114" t="s">
        <v>314</v>
      </c>
      <c r="G24" s="115" t="s">
        <v>315</v>
      </c>
      <c r="H24" s="268"/>
      <c r="I24" s="117" t="s">
        <v>313</v>
      </c>
      <c r="J24" s="114" t="s">
        <v>314</v>
      </c>
      <c r="K24" s="115" t="s">
        <v>315</v>
      </c>
      <c r="L24" s="116" t="s">
        <v>313</v>
      </c>
      <c r="M24" s="114" t="s">
        <v>314</v>
      </c>
      <c r="N24" s="118" t="s">
        <v>315</v>
      </c>
      <c r="O24" s="119" t="s">
        <v>315</v>
      </c>
      <c r="P24" s="275"/>
      <c r="V24" s="157"/>
      <c r="W24" s="157"/>
      <c r="X24" s="157"/>
      <c r="Y24" s="157"/>
      <c r="Z24" s="157"/>
      <c r="AA24" s="157"/>
    </row>
    <row r="25" spans="1:28" ht="17.399999999999999">
      <c r="A25" s="120">
        <v>1</v>
      </c>
      <c r="B25" s="121">
        <v>0</v>
      </c>
      <c r="C25" s="122">
        <v>4320.6000000000004</v>
      </c>
      <c r="D25" s="123">
        <f>B25-C25-58346.79</f>
        <v>-62667.39</v>
      </c>
      <c r="E25" s="124">
        <v>55477.5</v>
      </c>
      <c r="F25" s="122">
        <v>50031.09</v>
      </c>
      <c r="G25" s="123">
        <f>E25-F25+58147.9</f>
        <v>63594.310000000005</v>
      </c>
      <c r="H25" s="125">
        <f>D25+G25</f>
        <v>926.92000000000553</v>
      </c>
      <c r="I25" s="126">
        <v>65000</v>
      </c>
      <c r="J25" s="122">
        <v>64666.98</v>
      </c>
      <c r="K25" s="123">
        <f>I25-J25+75.81</f>
        <v>408.8299999999968</v>
      </c>
      <c r="L25" s="124">
        <v>51000</v>
      </c>
      <c r="M25" s="122">
        <v>50059.11</v>
      </c>
      <c r="N25" s="127">
        <f>L25-M25+154.99</f>
        <v>1095.8799999999994</v>
      </c>
      <c r="O25" s="128">
        <v>0</v>
      </c>
      <c r="P25" s="129">
        <f t="shared" ref="P25:P33" si="10">K25+N25+O25</f>
        <v>1504.7099999999962</v>
      </c>
      <c r="V25" s="157"/>
      <c r="W25" s="157"/>
      <c r="X25" s="157"/>
      <c r="Y25" s="157"/>
      <c r="Z25" s="231"/>
      <c r="AA25" s="231"/>
    </row>
    <row r="26" spans="1:28" ht="17.399999999999999">
      <c r="A26" s="130">
        <v>2</v>
      </c>
      <c r="B26" s="107">
        <v>0</v>
      </c>
      <c r="C26" s="61">
        <v>0</v>
      </c>
      <c r="D26" s="131">
        <f t="shared" ref="D26:D33" si="11">B26-C26+D25</f>
        <v>-62667.39</v>
      </c>
      <c r="E26" s="132">
        <v>17477.5</v>
      </c>
      <c r="F26" s="61">
        <v>13124.55</v>
      </c>
      <c r="G26" s="131">
        <f>E26-F26+G25</f>
        <v>67947.260000000009</v>
      </c>
      <c r="H26" s="133">
        <f>D26+G26</f>
        <v>5279.8700000000099</v>
      </c>
      <c r="I26" s="134">
        <v>56000.54</v>
      </c>
      <c r="J26" s="61">
        <v>56318.81</v>
      </c>
      <c r="K26" s="131">
        <f>I26-J26+K25</f>
        <v>90.56</v>
      </c>
      <c r="L26" s="132">
        <v>42600</v>
      </c>
      <c r="M26" s="61">
        <v>40363.519999999997</v>
      </c>
      <c r="N26" s="135">
        <f t="shared" ref="N26:N33" si="12">L26-M26+N25</f>
        <v>3332.3600000000024</v>
      </c>
      <c r="O26" s="136">
        <v>0</v>
      </c>
      <c r="P26" s="137">
        <f t="shared" si="10"/>
        <v>3422.9200000000023</v>
      </c>
    </row>
    <row r="27" spans="1:28" ht="17.399999999999999">
      <c r="A27" s="102">
        <v>3</v>
      </c>
      <c r="B27" s="138">
        <v>0</v>
      </c>
      <c r="C27" s="57">
        <v>610.4</v>
      </c>
      <c r="D27" s="139">
        <f t="shared" si="11"/>
        <v>-63277.79</v>
      </c>
      <c r="E27" s="140">
        <v>17241.25</v>
      </c>
      <c r="F27" s="57">
        <v>21618.97</v>
      </c>
      <c r="G27" s="139">
        <f t="shared" ref="G27:G33" si="13">E27-F27+G26</f>
        <v>63569.540000000008</v>
      </c>
      <c r="H27" s="141">
        <f>D27+G27</f>
        <v>291.75000000000728</v>
      </c>
      <c r="I27" s="142">
        <v>189578.54</v>
      </c>
      <c r="J27" s="57">
        <v>174953.65</v>
      </c>
      <c r="K27" s="143">
        <f t="shared" ref="K27:K33" si="14">I27-J27+K26</f>
        <v>14715.450000000013</v>
      </c>
      <c r="L27" s="140">
        <v>138630.29</v>
      </c>
      <c r="M27" s="57">
        <v>138905.63</v>
      </c>
      <c r="N27" s="144">
        <f t="shared" si="12"/>
        <v>3057.0200000000059</v>
      </c>
      <c r="O27" s="145">
        <v>1.1200000000000001</v>
      </c>
      <c r="P27" s="146">
        <f t="shared" si="10"/>
        <v>17773.590000000018</v>
      </c>
    </row>
    <row r="28" spans="1:28" ht="17.399999999999999">
      <c r="A28" s="130">
        <v>4</v>
      </c>
      <c r="B28" s="107">
        <v>0</v>
      </c>
      <c r="C28" s="61">
        <v>0</v>
      </c>
      <c r="D28" s="131">
        <f t="shared" si="11"/>
        <v>-63277.79</v>
      </c>
      <c r="E28" s="132">
        <v>0</v>
      </c>
      <c r="F28" s="61">
        <v>0</v>
      </c>
      <c r="G28" s="131">
        <f t="shared" si="13"/>
        <v>63569.540000000008</v>
      </c>
      <c r="H28" s="133">
        <f>D28+G28</f>
        <v>291.75000000000728</v>
      </c>
      <c r="I28" s="134">
        <v>167140</v>
      </c>
      <c r="J28" s="61">
        <v>175472.4</v>
      </c>
      <c r="K28" s="131">
        <f t="shared" si="14"/>
        <v>6383.0500000000193</v>
      </c>
      <c r="L28" s="132">
        <v>171200</v>
      </c>
      <c r="M28" s="61">
        <v>173624.95</v>
      </c>
      <c r="N28" s="135">
        <f t="shared" si="12"/>
        <v>632.06999999999425</v>
      </c>
      <c r="O28" s="136">
        <v>121.61</v>
      </c>
      <c r="P28" s="137">
        <f t="shared" si="10"/>
        <v>7136.7300000000132</v>
      </c>
    </row>
    <row r="29" spans="1:28" ht="17.399999999999999">
      <c r="A29" s="102">
        <v>5</v>
      </c>
      <c r="B29" s="138">
        <v>0</v>
      </c>
      <c r="C29" s="57">
        <v>0</v>
      </c>
      <c r="D29" s="143">
        <f t="shared" si="11"/>
        <v>-63277.79</v>
      </c>
      <c r="E29" s="140">
        <v>0</v>
      </c>
      <c r="F29" s="57">
        <v>291.75</v>
      </c>
      <c r="G29" s="143">
        <f t="shared" si="13"/>
        <v>63277.790000000008</v>
      </c>
      <c r="H29" s="188">
        <f t="shared" ref="H29:H33" si="15">D29+G29</f>
        <v>0</v>
      </c>
      <c r="I29" s="142">
        <v>200060.75</v>
      </c>
      <c r="J29" s="57">
        <v>206188.42</v>
      </c>
      <c r="K29" s="143">
        <f t="shared" si="14"/>
        <v>255.38000000000648</v>
      </c>
      <c r="L29" s="140">
        <v>177900</v>
      </c>
      <c r="M29" s="57">
        <v>177910.73</v>
      </c>
      <c r="N29" s="144">
        <f t="shared" si="12"/>
        <v>621.33999999998377</v>
      </c>
      <c r="O29" s="145">
        <v>173.69</v>
      </c>
      <c r="P29" s="187">
        <f t="shared" si="10"/>
        <v>1050.4099999999903</v>
      </c>
    </row>
    <row r="30" spans="1:28" ht="17.399999999999999">
      <c r="A30" s="130">
        <v>6</v>
      </c>
      <c r="B30" s="107">
        <v>0</v>
      </c>
      <c r="C30" s="61">
        <v>0</v>
      </c>
      <c r="D30" s="131">
        <f t="shared" si="11"/>
        <v>-63277.79</v>
      </c>
      <c r="E30" s="132">
        <v>9730</v>
      </c>
      <c r="F30" s="61">
        <v>7630</v>
      </c>
      <c r="G30" s="131">
        <f t="shared" si="13"/>
        <v>65377.790000000008</v>
      </c>
      <c r="H30" s="133">
        <f t="shared" si="15"/>
        <v>2100.0000000000073</v>
      </c>
      <c r="I30" s="134">
        <v>94500.86</v>
      </c>
      <c r="J30" s="61">
        <v>88183</v>
      </c>
      <c r="K30" s="131">
        <f t="shared" si="14"/>
        <v>6573.2400000000071</v>
      </c>
      <c r="L30" s="132">
        <v>70965.63</v>
      </c>
      <c r="M30" s="61">
        <v>71085.23</v>
      </c>
      <c r="N30" s="135">
        <f t="shared" si="12"/>
        <v>501.73999999999251</v>
      </c>
      <c r="O30" s="136">
        <v>586.91</v>
      </c>
      <c r="P30" s="137">
        <f t="shared" si="10"/>
        <v>7661.8899999999994</v>
      </c>
    </row>
    <row r="31" spans="1:28" ht="17.399999999999999">
      <c r="A31" s="102">
        <v>7</v>
      </c>
      <c r="B31" s="138">
        <v>0</v>
      </c>
      <c r="C31" s="142">
        <v>0</v>
      </c>
      <c r="D31" s="139">
        <f t="shared" si="11"/>
        <v>-63277.79</v>
      </c>
      <c r="E31" s="140">
        <v>10000</v>
      </c>
      <c r="F31" s="57">
        <v>9667.65</v>
      </c>
      <c r="G31" s="139">
        <f t="shared" si="13"/>
        <v>65710.140000000014</v>
      </c>
      <c r="H31" s="141">
        <f t="shared" si="15"/>
        <v>2432.3500000000131</v>
      </c>
      <c r="I31" s="142">
        <v>330810</v>
      </c>
      <c r="J31" s="57">
        <v>336977.23</v>
      </c>
      <c r="K31" s="139">
        <f>I31-J31+K30</f>
        <v>406.01000000002568</v>
      </c>
      <c r="L31" s="140">
        <v>241600</v>
      </c>
      <c r="M31" s="57">
        <v>241295.24</v>
      </c>
      <c r="N31" s="220">
        <f t="shared" si="12"/>
        <v>806.50000000000182</v>
      </c>
      <c r="O31" s="145">
        <v>380.66</v>
      </c>
      <c r="P31" s="146">
        <f t="shared" si="10"/>
        <v>1593.1700000000276</v>
      </c>
    </row>
    <row r="32" spans="1:28" ht="17.399999999999999">
      <c r="A32" s="130">
        <v>8</v>
      </c>
      <c r="B32" s="107">
        <v>0</v>
      </c>
      <c r="C32" s="134">
        <v>0</v>
      </c>
      <c r="D32" s="131">
        <f t="shared" si="11"/>
        <v>-63277.79</v>
      </c>
      <c r="E32" s="132">
        <v>12000</v>
      </c>
      <c r="F32" s="61">
        <v>13673.27</v>
      </c>
      <c r="G32" s="131">
        <f t="shared" si="13"/>
        <v>64036.87000000001</v>
      </c>
      <c r="H32" s="133">
        <f t="shared" si="15"/>
        <v>759.08000000000902</v>
      </c>
      <c r="I32" s="134">
        <v>400524.59</v>
      </c>
      <c r="J32" s="61">
        <v>138867.37</v>
      </c>
      <c r="K32" s="131">
        <f t="shared" si="14"/>
        <v>262063.23000000007</v>
      </c>
      <c r="L32" s="132">
        <v>111700</v>
      </c>
      <c r="M32" s="61">
        <v>112308.77</v>
      </c>
      <c r="N32" s="135">
        <f t="shared" si="12"/>
        <v>197.72999999999774</v>
      </c>
      <c r="O32" s="136">
        <v>450.87</v>
      </c>
      <c r="P32" s="137">
        <f t="shared" si="10"/>
        <v>262711.83000000007</v>
      </c>
    </row>
    <row r="33" spans="1:16" ht="17.399999999999999">
      <c r="A33" s="102">
        <v>9</v>
      </c>
      <c r="B33" s="138">
        <v>0</v>
      </c>
      <c r="C33" s="142">
        <v>0</v>
      </c>
      <c r="D33" s="139">
        <f t="shared" si="11"/>
        <v>-63277.79</v>
      </c>
      <c r="E33" s="140">
        <v>5000</v>
      </c>
      <c r="F33" s="57">
        <v>3737.3</v>
      </c>
      <c r="G33" s="139">
        <f t="shared" si="13"/>
        <v>65299.570000000007</v>
      </c>
      <c r="H33" s="141">
        <f t="shared" si="15"/>
        <v>2021.7800000000061</v>
      </c>
      <c r="I33" s="142">
        <v>322724.78999999998</v>
      </c>
      <c r="J33" s="57">
        <v>562474.98</v>
      </c>
      <c r="K33" s="139">
        <f t="shared" si="14"/>
        <v>22313.040000000066</v>
      </c>
      <c r="L33" s="140">
        <v>143700.4</v>
      </c>
      <c r="M33" s="57">
        <v>142753.74</v>
      </c>
      <c r="N33" s="220">
        <f t="shared" si="12"/>
        <v>1144.3900000000012</v>
      </c>
      <c r="O33" s="145">
        <v>523.38</v>
      </c>
      <c r="P33" s="146">
        <f t="shared" si="10"/>
        <v>23980.810000000067</v>
      </c>
    </row>
    <row r="34" spans="1:16" ht="17.399999999999999">
      <c r="A34" s="130">
        <v>10</v>
      </c>
      <c r="B34" s="107"/>
      <c r="C34" s="134"/>
      <c r="D34" s="61"/>
      <c r="E34" s="132"/>
      <c r="F34" s="61"/>
      <c r="G34" s="131"/>
      <c r="H34" s="133"/>
      <c r="I34" s="134"/>
      <c r="J34" s="61"/>
      <c r="K34" s="131"/>
      <c r="L34" s="132"/>
      <c r="M34" s="61"/>
      <c r="N34" s="135"/>
      <c r="O34" s="136"/>
      <c r="P34" s="137"/>
    </row>
    <row r="35" spans="1:16" ht="17.399999999999999">
      <c r="A35" s="102">
        <v>11</v>
      </c>
      <c r="B35" s="138"/>
      <c r="C35" s="142"/>
      <c r="D35" s="57"/>
      <c r="E35" s="140"/>
      <c r="F35" s="57"/>
      <c r="G35" s="139"/>
      <c r="H35" s="141"/>
      <c r="I35" s="142"/>
      <c r="J35" s="57"/>
      <c r="K35" s="143"/>
      <c r="L35" s="140"/>
      <c r="M35" s="57"/>
      <c r="N35" s="144"/>
      <c r="O35" s="145"/>
      <c r="P35" s="146"/>
    </row>
    <row r="36" spans="1:16" ht="18" thickBot="1">
      <c r="A36" s="147">
        <v>12</v>
      </c>
      <c r="B36" s="148"/>
      <c r="C36" s="153"/>
      <c r="D36" s="149"/>
      <c r="E36" s="151"/>
      <c r="F36" s="149"/>
      <c r="G36" s="150"/>
      <c r="H36" s="152"/>
      <c r="I36" s="153"/>
      <c r="J36" s="149"/>
      <c r="K36" s="150"/>
      <c r="L36" s="151"/>
      <c r="M36" s="149"/>
      <c r="N36" s="154"/>
      <c r="O36" s="155"/>
      <c r="P36" s="156"/>
    </row>
  </sheetData>
  <mergeCells count="20">
    <mergeCell ref="A1:AA1"/>
    <mergeCell ref="A2:A4"/>
    <mergeCell ref="F2:V2"/>
    <mergeCell ref="W2:W4"/>
    <mergeCell ref="X2:Z3"/>
    <mergeCell ref="AA2:AA4"/>
    <mergeCell ref="F3:I3"/>
    <mergeCell ref="J3:V3"/>
    <mergeCell ref="B3:C3"/>
    <mergeCell ref="B2:E2"/>
    <mergeCell ref="D3:D4"/>
    <mergeCell ref="E3:E4"/>
    <mergeCell ref="E23:G23"/>
    <mergeCell ref="B23:D23"/>
    <mergeCell ref="I23:K23"/>
    <mergeCell ref="H23:H24"/>
    <mergeCell ref="A22:P22"/>
    <mergeCell ref="L23:N23"/>
    <mergeCell ref="A23:A24"/>
    <mergeCell ref="P23:P24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个人报销</vt:lpstr>
      <vt:lpstr>分成比例</vt:lpstr>
      <vt:lpstr>3月</vt:lpstr>
      <vt:lpstr>4月</vt:lpstr>
      <vt:lpstr>发票</vt:lpstr>
      <vt:lpstr>Sheet2</vt:lpstr>
      <vt:lpstr>Sheet4</vt:lpstr>
      <vt:lpstr>2021财报</vt:lpstr>
      <vt:lpstr>2022财报</vt:lpstr>
      <vt:lpstr>Sheet3</vt:lpstr>
      <vt:lpstr>2022支出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缪成武</dc:creator>
  <cp:lastModifiedBy>缪成武</cp:lastModifiedBy>
  <dcterms:created xsi:type="dcterms:W3CDTF">2015-06-05T18:19:34Z</dcterms:created>
  <dcterms:modified xsi:type="dcterms:W3CDTF">2022-10-24T03:54:10Z</dcterms:modified>
</cp:coreProperties>
</file>