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ary" sheetId="1" r:id="rId3"/>
    <sheet state="visible" name="#1 Oct 20" sheetId="2" r:id="rId4"/>
    <sheet state="visible" name="#2 Oct 27" sheetId="3" r:id="rId5"/>
    <sheet state="visible" name="Journal" sheetId="4" r:id="rId6"/>
  </sheets>
  <definedNames/>
  <calcPr/>
</workbook>
</file>

<file path=xl/sharedStrings.xml><?xml version="1.0" encoding="utf-8"?>
<sst xmlns="http://schemas.openxmlformats.org/spreadsheetml/2006/main" count="197" uniqueCount="59">
  <si>
    <t>Date:</t>
  </si>
  <si>
    <t>Name:</t>
  </si>
  <si>
    <t xml:space="preserve">Your book begins with two options having been sold, an Asian call option on the TSX 60, and a binary put on your stock. </t>
  </si>
  <si>
    <t>The proceeds from the sale are in your cash account.</t>
  </si>
  <si>
    <t>For the first week I attempted to do a simple delta hedge on both options by buying and selling quantities of the underlier.</t>
  </si>
  <si>
    <t>I used the formulas in Wilmott, Chapter 8.3 and 8.4 to calculate the delta and gamma of the binary put.</t>
  </si>
  <si>
    <t>I then bought/sold the amount of underlier which brought the delta as close as possible to 0.</t>
  </si>
  <si>
    <t>I realized I made a mistake in my last worksheet in calculating the delta of the put. I have corrected it in the new worksheet.</t>
  </si>
  <si>
    <t>This week I tried gamma-hedging in conjunction with delta hedging in order to minimize the risk due to variations in delta.</t>
  </si>
  <si>
    <t>I bought a number of TSX calls to counter the gamma on the sold Asian call option, thus minimizing the total gamma.</t>
  </si>
  <si>
    <t>Red</t>
  </si>
  <si>
    <t>I also bought a number of puts on Telus Corporation to counter the gamma on the sold binary put.</t>
  </si>
  <si>
    <t>After neutralizing gammas as much as possible, I then sold the amount of underlier of each which brought deltas as close to 0 as possible.</t>
  </si>
  <si>
    <t>Marie Barnhill</t>
  </si>
  <si>
    <t>entries are copied from previous spreadsheet</t>
  </si>
  <si>
    <t>Portfolio Value</t>
  </si>
  <si>
    <t>Change in Value</t>
  </si>
  <si>
    <t>Blue</t>
  </si>
  <si>
    <t>entries are to be updated manually</t>
  </si>
  <si>
    <t>Previous Date:</t>
  </si>
  <si>
    <t>Interest Rate:</t>
  </si>
  <si>
    <t>Previous positions:</t>
  </si>
  <si>
    <t>New positions</t>
  </si>
  <si>
    <t>Previous Cash</t>
  </si>
  <si>
    <t>Elapsed time</t>
  </si>
  <si>
    <t>Present Value</t>
  </si>
  <si>
    <t>Cash</t>
  </si>
  <si>
    <t>TSX 60 Index</t>
  </si>
  <si>
    <t># of Units</t>
  </si>
  <si>
    <t>Unit Price</t>
  </si>
  <si>
    <t>Value</t>
  </si>
  <si>
    <t>Change in Cash</t>
  </si>
  <si>
    <t>Delta position in units</t>
  </si>
  <si>
    <t>Total gamma</t>
  </si>
  <si>
    <t>TSX 60 Options</t>
  </si>
  <si>
    <t>Bid</t>
  </si>
  <si>
    <t>Ask</t>
  </si>
  <si>
    <t>Theoretical</t>
  </si>
  <si>
    <t>time</t>
  </si>
  <si>
    <t>Type (put/call)</t>
  </si>
  <si>
    <t>Strike</t>
  </si>
  <si>
    <t>Maturity</t>
  </si>
  <si>
    <t>Vol</t>
  </si>
  <si>
    <t>Unit option price</t>
  </si>
  <si>
    <t>unit option price</t>
  </si>
  <si>
    <t>remaining</t>
  </si>
  <si>
    <t>d2</t>
  </si>
  <si>
    <t>d1</t>
  </si>
  <si>
    <t>Delta per unit</t>
  </si>
  <si>
    <t>Total delta</t>
  </si>
  <si>
    <t>Gamma per unit</t>
  </si>
  <si>
    <t>Total Gamma</t>
  </si>
  <si>
    <t>Asian call option</t>
  </si>
  <si>
    <t>put</t>
  </si>
  <si>
    <t>call</t>
  </si>
  <si>
    <t>Telus Corporation</t>
  </si>
  <si>
    <t>Delta position in shares</t>
  </si>
  <si>
    <t>Stock Options</t>
  </si>
  <si>
    <t>digital put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</si>
</sst>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&quot;$&quot;#,##0.00"/>
    <numFmt numFmtId="165" formatCode="&quot;$&quot;#,##0.00;\-&quot;$&quot;#,##0.00"/>
    <numFmt numFmtId="166" formatCode="_-&quot;$&quot;* #,##0.00_-;\-&quot;$&quot;* #,##0.00_-;_-&quot;$&quot;* &quot;-&quot;??_-;_-@"/>
    <numFmt numFmtId="167" formatCode="0.0%"/>
    <numFmt numFmtId="168" formatCode="&quot;$&quot;#,##0"/>
    <numFmt numFmtId="169" formatCode="_-&quot;$&quot;* #,##0.000000_-;\-&quot;$&quot;* #,##0.000000_-;_-&quot;$&quot;* &quot;-&quot;??_-;_-@"/>
    <numFmt numFmtId="170" formatCode="#,##0.000_ ;\-#,##0.000\ "/>
    <numFmt numFmtId="171" formatCode="0.000"/>
  </numFmts>
  <fonts count="28">
    <font>
      <sz val="10.0"/>
      <color rgb="FF000000"/>
      <name val="Arial"/>
    </font>
    <font>
      <sz val="10.0"/>
      <name val="Arial"/>
    </font>
    <font>
      <b/>
      <sz val="10.0"/>
      <name val="Arial"/>
    </font>
    <font>
      <b/>
      <sz val="10.0"/>
      <color rgb="FF0000D4"/>
      <name val="Arial"/>
    </font>
    <font>
      <b/>
      <u/>
      <sz val="10.0"/>
      <name val="Arial"/>
    </font>
    <font>
      <b/>
      <sz val="10.0"/>
      <color rgb="FFDD0806"/>
      <name val="Arial"/>
    </font>
    <font>
      <sz val="10.0"/>
      <color rgb="FF0000D4"/>
      <name val="Arial"/>
    </font>
    <font>
      <b/>
      <u/>
      <sz val="16.0"/>
      <name val="Arial"/>
    </font>
    <font>
      <u/>
      <sz val="10.0"/>
      <name val="Arial"/>
    </font>
    <font>
      <u/>
      <sz val="10.0"/>
      <name val="Arial"/>
    </font>
    <font>
      <u/>
      <sz val="10.0"/>
      <name val="Arial"/>
    </font>
    <font>
      <b/>
      <u/>
      <sz val="14.0"/>
      <name val="Arial"/>
    </font>
    <font>
      <b/>
      <u/>
      <sz val="14.0"/>
      <name val="Arial"/>
    </font>
    <font>
      <b/>
      <sz val="14.0"/>
      <name val="Arial"/>
    </font>
    <font>
      <b/>
      <u/>
      <sz val="10.0"/>
      <name val="Arial"/>
    </font>
    <font>
      <b/>
      <u/>
      <sz val="10.0"/>
      <name val="Arial"/>
    </font>
    <font>
      <b/>
      <u/>
      <sz val="10.0"/>
      <name val="Arial"/>
    </font>
    <font>
      <u/>
      <sz val="10.0"/>
      <name val="Arial"/>
    </font>
    <font>
      <u/>
      <sz val="10.0"/>
      <name val="Arial"/>
    </font>
    <font>
      <u/>
      <sz val="10.0"/>
      <name val="Arial"/>
    </font>
    <font>
      <sz val="10.0"/>
      <color rgb="FF333300"/>
      <name val="Arial"/>
    </font>
    <font>
      <b/>
      <u/>
      <sz val="10.0"/>
      <name val="Arial"/>
    </font>
    <font>
      <b/>
      <u/>
      <sz val="10.0"/>
      <name val="Arial"/>
    </font>
    <font>
      <b/>
      <u/>
      <sz val="10.0"/>
      <name val="Arial"/>
    </font>
    <font>
      <b/>
      <u/>
      <sz val="10.0"/>
      <name val="Arial"/>
    </font>
    <font>
      <u/>
      <sz val="10.0"/>
      <name val="Arial"/>
    </font>
    <font>
      <u/>
      <sz val="10.0"/>
      <name val="Arial"/>
    </font>
    <font>
      <u/>
      <sz val="10.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rgb="FFFFCC99"/>
        <bgColor rgb="FFFFCC99"/>
      </patternFill>
    </fill>
    <fill>
      <patternFill patternType="solid">
        <fgColor rgb="FFCCFFFF"/>
        <bgColor rgb="FFCCFFFF"/>
      </patternFill>
    </fill>
  </fills>
  <borders count="11"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88">
    <xf borderId="0" fillId="0" fontId="0" numFmtId="0" xfId="0" applyAlignment="1" applyFont="1">
      <alignment/>
    </xf>
    <xf borderId="0" fillId="0" fontId="1" numFmtId="0" xfId="0" applyFont="1"/>
    <xf borderId="1" fillId="2" fontId="2" numFmtId="0" xfId="0" applyBorder="1" applyFill="1" applyFont="1"/>
    <xf borderId="0" fillId="0" fontId="3" numFmtId="14" xfId="0" applyFont="1" applyNumberFormat="1"/>
    <xf borderId="2" fillId="2" fontId="3" numFmtId="14" xfId="0" applyBorder="1" applyFont="1" applyNumberFormat="1"/>
    <xf borderId="0" fillId="0" fontId="1" numFmtId="14" xfId="0" applyFont="1" applyNumberFormat="1"/>
    <xf borderId="0" fillId="0" fontId="4" numFmtId="0" xfId="0" applyFont="1"/>
    <xf borderId="0" fillId="0" fontId="5" numFmtId="0" xfId="0" applyAlignment="1" applyFont="1">
      <alignment horizontal="right"/>
    </xf>
    <xf borderId="0" fillId="0" fontId="2" numFmtId="0" xfId="0" applyFont="1"/>
    <xf borderId="3" fillId="2" fontId="1" numFmtId="0" xfId="0" applyBorder="1" applyFont="1"/>
    <xf borderId="0" fillId="0" fontId="1" numFmtId="164" xfId="0" applyFont="1" applyNumberFormat="1"/>
    <xf borderId="4" fillId="2" fontId="6" numFmtId="14" xfId="0" applyBorder="1" applyFont="1" applyNumberFormat="1"/>
    <xf borderId="0" fillId="0" fontId="3" numFmtId="0" xfId="0" applyAlignment="1" applyFont="1">
      <alignment horizontal="right"/>
    </xf>
    <xf borderId="5" fillId="2" fontId="2" numFmtId="0" xfId="0" applyBorder="1" applyFont="1"/>
    <xf borderId="6" fillId="2" fontId="3" numFmtId="14" xfId="0" applyBorder="1" applyFont="1" applyNumberFormat="1"/>
    <xf borderId="0" fillId="0" fontId="1" numFmtId="10" xfId="0" applyFont="1" applyNumberFormat="1"/>
    <xf borderId="0" fillId="0" fontId="7" numFmtId="0" xfId="0" applyFont="1"/>
    <xf borderId="0" fillId="0" fontId="1" numFmtId="165" xfId="0" applyFont="1" applyNumberFormat="1"/>
    <xf borderId="1" fillId="3" fontId="8" numFmtId="0" xfId="0" applyAlignment="1" applyBorder="1" applyFill="1" applyFont="1">
      <alignment horizontal="center"/>
    </xf>
    <xf borderId="7" fillId="3" fontId="9" numFmtId="0" xfId="0" applyAlignment="1" applyBorder="1" applyFont="1">
      <alignment horizontal="center"/>
    </xf>
    <xf borderId="2" fillId="3" fontId="10" numFmtId="0" xfId="0" applyAlignment="1" applyBorder="1" applyFont="1">
      <alignment horizontal="center"/>
    </xf>
    <xf borderId="8" fillId="0" fontId="11" numFmtId="0" xfId="0" applyBorder="1" applyFont="1"/>
    <xf borderId="0" fillId="0" fontId="12" numFmtId="0" xfId="0" applyFont="1"/>
    <xf borderId="8" fillId="3" fontId="2" numFmtId="0" xfId="0" applyBorder="1" applyFont="1"/>
    <xf borderId="5" fillId="3" fontId="5" numFmtId="166" xfId="0" applyAlignment="1" applyBorder="1" applyFont="1" applyNumberFormat="1">
      <alignment horizontal="center"/>
    </xf>
    <xf borderId="9" fillId="3" fontId="1" numFmtId="0" xfId="0" applyAlignment="1" applyBorder="1" applyFont="1">
      <alignment horizontal="center"/>
    </xf>
    <xf borderId="6" fillId="3" fontId="1" numFmtId="166" xfId="0" applyAlignment="1" applyBorder="1" applyFont="1" applyNumberFormat="1">
      <alignment horizontal="center"/>
    </xf>
    <xf borderId="0" fillId="0" fontId="1" numFmtId="166" xfId="0" applyFont="1" applyNumberFormat="1"/>
    <xf borderId="10" fillId="0" fontId="13" numFmtId="166" xfId="0" applyBorder="1" applyFont="1" applyNumberFormat="1"/>
    <xf borderId="0" fillId="0" fontId="13" numFmtId="166" xfId="0" applyFont="1" applyNumberFormat="1"/>
    <xf borderId="10" fillId="3" fontId="2" numFmtId="166" xfId="0" applyBorder="1" applyFont="1" applyNumberFormat="1"/>
    <xf borderId="1" fillId="4" fontId="14" numFmtId="0" xfId="0" applyBorder="1" applyFill="1" applyFont="1"/>
    <xf borderId="7" fillId="4" fontId="1" numFmtId="0" xfId="0" applyBorder="1" applyFont="1"/>
    <xf borderId="2" fillId="4" fontId="1" numFmtId="0" xfId="0" applyBorder="1" applyFont="1"/>
    <xf borderId="1" fillId="4" fontId="15" numFmtId="0" xfId="0" applyAlignment="1" applyBorder="1" applyFont="1">
      <alignment horizontal="center"/>
    </xf>
    <xf borderId="7" fillId="4" fontId="16" numFmtId="0" xfId="0" applyAlignment="1" applyBorder="1" applyFont="1">
      <alignment horizontal="center"/>
    </xf>
    <xf borderId="2" fillId="4" fontId="1" numFmtId="0" xfId="0" applyAlignment="1" applyBorder="1" applyFont="1">
      <alignment horizontal="right"/>
    </xf>
    <xf borderId="3" fillId="4" fontId="17" numFmtId="0" xfId="0" applyAlignment="1" applyBorder="1" applyFont="1">
      <alignment horizontal="center"/>
    </xf>
    <xf borderId="0" fillId="4" fontId="18" numFmtId="0" xfId="0" applyAlignment="1" applyBorder="1" applyFont="1">
      <alignment horizontal="center"/>
    </xf>
    <xf borderId="4" fillId="4" fontId="19" numFmtId="0" xfId="0" applyAlignment="1" applyBorder="1" applyFont="1">
      <alignment horizontal="center"/>
    </xf>
    <xf borderId="3" fillId="4" fontId="1" numFmtId="0" xfId="0" applyAlignment="1" applyBorder="1" applyFont="1">
      <alignment horizontal="center"/>
    </xf>
    <xf borderId="0" fillId="4" fontId="1" numFmtId="0" xfId="0" applyAlignment="1" applyBorder="1" applyFont="1">
      <alignment horizontal="center"/>
    </xf>
    <xf borderId="4" fillId="4" fontId="1" numFmtId="0" xfId="0" applyAlignment="1" applyBorder="1" applyFont="1">
      <alignment horizontal="right"/>
    </xf>
    <xf borderId="3" fillId="4" fontId="1" numFmtId="0" xfId="0" applyBorder="1" applyFont="1"/>
    <xf borderId="0" fillId="4" fontId="1" numFmtId="0" xfId="0" applyBorder="1" applyFont="1"/>
    <xf borderId="4" fillId="4" fontId="1" numFmtId="0" xfId="0" applyBorder="1" applyFont="1"/>
    <xf borderId="5" fillId="4" fontId="5" numFmtId="0" xfId="0" applyAlignment="1" applyBorder="1" applyFont="1">
      <alignment horizontal="center"/>
    </xf>
    <xf borderId="9" fillId="4" fontId="3" numFmtId="4" xfId="0" applyAlignment="1" applyBorder="1" applyFont="1" applyNumberFormat="1">
      <alignment horizontal="center"/>
    </xf>
    <xf borderId="6" fillId="4" fontId="1" numFmtId="166" xfId="0" applyAlignment="1" applyBorder="1" applyFont="1" applyNumberFormat="1">
      <alignment horizontal="center"/>
    </xf>
    <xf borderId="5" fillId="4" fontId="3" numFmtId="0" xfId="0" applyAlignment="1" applyBorder="1" applyFont="1">
      <alignment horizontal="center"/>
    </xf>
    <xf borderId="9" fillId="4" fontId="20" numFmtId="164" xfId="0" applyAlignment="1" applyBorder="1" applyFont="1" applyNumberFormat="1">
      <alignment horizontal="center"/>
    </xf>
    <xf borderId="6" fillId="4" fontId="1" numFmtId="165" xfId="0" applyAlignment="1" applyBorder="1" applyFont="1" applyNumberFormat="1">
      <alignment horizontal="right"/>
    </xf>
    <xf borderId="5" fillId="4" fontId="1" numFmtId="2" xfId="0" applyBorder="1" applyFont="1" applyNumberFormat="1"/>
    <xf borderId="9" fillId="4" fontId="1" numFmtId="0" xfId="0" applyBorder="1" applyFont="1"/>
    <xf borderId="6" fillId="4" fontId="1" numFmtId="2" xfId="0" applyBorder="1" applyFont="1" applyNumberFormat="1"/>
    <xf borderId="0" fillId="0" fontId="1" numFmtId="0" xfId="0" applyAlignment="1" applyFont="1">
      <alignment horizontal="right"/>
    </xf>
    <xf borderId="1" fillId="4" fontId="21" numFmtId="0" xfId="0" applyAlignment="1" applyBorder="1" applyFont="1">
      <alignment horizontal="left"/>
    </xf>
    <xf borderId="7" fillId="4" fontId="1" numFmtId="0" xfId="0" applyAlignment="1" applyBorder="1" applyFont="1">
      <alignment horizontal="center"/>
    </xf>
    <xf borderId="7" fillId="4" fontId="1" numFmtId="0" xfId="0" applyAlignment="1" applyBorder="1" applyFont="1">
      <alignment horizontal="right"/>
    </xf>
    <xf borderId="2" fillId="4" fontId="1" numFmtId="0" xfId="0" applyAlignment="1" applyBorder="1" applyFont="1">
      <alignment horizontal="center"/>
    </xf>
    <xf borderId="1" fillId="4" fontId="1" numFmtId="0" xfId="0" applyBorder="1" applyFont="1"/>
    <xf borderId="5" fillId="4" fontId="1" numFmtId="0" xfId="0" applyAlignment="1" applyBorder="1" applyFont="1">
      <alignment horizontal="center"/>
    </xf>
    <xf borderId="9" fillId="4" fontId="1" numFmtId="0" xfId="0" applyAlignment="1" applyBorder="1" applyFont="1">
      <alignment horizontal="center"/>
    </xf>
    <xf borderId="9" fillId="4" fontId="1" numFmtId="0" xfId="0" applyAlignment="1" applyBorder="1" applyFont="1">
      <alignment horizontal="right"/>
    </xf>
    <xf borderId="6" fillId="4" fontId="1" numFmtId="0" xfId="0" applyAlignment="1" applyBorder="1" applyFont="1">
      <alignment horizontal="center"/>
    </xf>
    <xf borderId="6" fillId="4" fontId="1" numFmtId="0" xfId="0" applyAlignment="1" applyBorder="1" applyFont="1">
      <alignment horizontal="right"/>
    </xf>
    <xf borderId="5" fillId="4" fontId="1" numFmtId="0" xfId="0" applyBorder="1" applyFont="1"/>
    <xf borderId="6" fillId="4" fontId="1" numFmtId="0" xfId="0" applyBorder="1" applyFont="1"/>
    <xf borderId="1" fillId="4" fontId="5" numFmtId="3" xfId="0" applyAlignment="1" applyBorder="1" applyFont="1" applyNumberFormat="1">
      <alignment horizontal="center"/>
    </xf>
    <xf borderId="7" fillId="4" fontId="1" numFmtId="3" xfId="0" applyAlignment="1" applyBorder="1" applyFont="1" applyNumberFormat="1">
      <alignment horizontal="center"/>
    </xf>
    <xf borderId="7" fillId="4" fontId="1" numFmtId="14" xfId="0" applyAlignment="1" applyBorder="1" applyFont="1" applyNumberFormat="1">
      <alignment horizontal="center"/>
    </xf>
    <xf borderId="7" fillId="4" fontId="3" numFmtId="167" xfId="0" applyAlignment="1" applyBorder="1" applyFont="1" applyNumberFormat="1">
      <alignment horizontal="center"/>
    </xf>
    <xf borderId="7" fillId="4" fontId="3" numFmtId="165" xfId="0" applyAlignment="1" applyBorder="1" applyFont="1" applyNumberFormat="1">
      <alignment horizontal="right"/>
    </xf>
    <xf borderId="7" fillId="4" fontId="2" numFmtId="165" xfId="0" applyAlignment="1" applyBorder="1" applyFont="1" applyNumberFormat="1">
      <alignment horizontal="right"/>
    </xf>
    <xf borderId="7" fillId="4" fontId="1" numFmtId="0" xfId="0" applyAlignment="1" applyBorder="1" applyFont="1">
      <alignment horizontal="center"/>
    </xf>
    <xf borderId="1" fillId="4" fontId="3" numFmtId="3" xfId="0" applyAlignment="1" applyBorder="1" applyFont="1" applyNumberFormat="1">
      <alignment horizontal="center"/>
    </xf>
    <xf borderId="7" fillId="4" fontId="20" numFmtId="168" xfId="0" applyAlignment="1" applyBorder="1" applyFont="1" applyNumberFormat="1">
      <alignment horizontal="center"/>
    </xf>
    <xf borderId="2" fillId="4" fontId="1" numFmtId="165" xfId="0" applyAlignment="1" applyBorder="1" applyFont="1" applyNumberFormat="1">
      <alignment horizontal="right"/>
    </xf>
    <xf borderId="1" fillId="4" fontId="3" numFmtId="0" xfId="0" applyBorder="1" applyFont="1"/>
    <xf borderId="1" fillId="4" fontId="3" numFmtId="2" xfId="0" applyBorder="1" applyFont="1" applyNumberFormat="1"/>
    <xf borderId="7" fillId="4" fontId="1" numFmtId="0" xfId="0" applyBorder="1" applyFont="1"/>
    <xf borderId="7" fillId="4" fontId="1" numFmtId="2" xfId="0" applyBorder="1" applyFont="1" applyNumberFormat="1"/>
    <xf borderId="7" fillId="4" fontId="3" numFmtId="2" xfId="0" applyBorder="1" applyFont="1" applyNumberFormat="1"/>
    <xf borderId="7" fillId="4" fontId="3" numFmtId="0" xfId="0" applyBorder="1" applyFont="1"/>
    <xf borderId="2" fillId="4" fontId="1" numFmtId="2" xfId="0" applyBorder="1" applyFont="1" applyNumberFormat="1"/>
    <xf borderId="3" fillId="4" fontId="5" numFmtId="0" xfId="0" applyAlignment="1" applyBorder="1" applyFont="1">
      <alignment horizontal="center"/>
    </xf>
    <xf borderId="0" fillId="4" fontId="1" numFmtId="3" xfId="0" applyAlignment="1" applyBorder="1" applyFont="1" applyNumberFormat="1">
      <alignment horizontal="center"/>
    </xf>
    <xf borderId="0" fillId="4" fontId="1" numFmtId="14" xfId="0" applyAlignment="1" applyBorder="1" applyFont="1" applyNumberFormat="1">
      <alignment horizontal="center"/>
    </xf>
    <xf borderId="0" fillId="4" fontId="1" numFmtId="167" xfId="0" applyAlignment="1" applyBorder="1" applyFont="1" applyNumberFormat="1">
      <alignment horizontal="center"/>
    </xf>
    <xf borderId="0" fillId="4" fontId="3" numFmtId="165" xfId="0" applyAlignment="1" applyBorder="1" applyFont="1" applyNumberFormat="1">
      <alignment horizontal="right"/>
    </xf>
    <xf borderId="0" fillId="4" fontId="2" numFmtId="165" xfId="0" applyAlignment="1" applyBorder="1" applyFont="1" applyNumberFormat="1">
      <alignment horizontal="right"/>
    </xf>
    <xf borderId="0" fillId="4" fontId="1" numFmtId="165" xfId="0" applyAlignment="1" applyBorder="1" applyFont="1" applyNumberFormat="1">
      <alignment horizontal="right"/>
    </xf>
    <xf borderId="0" fillId="4" fontId="1" numFmtId="0" xfId="0" applyAlignment="1" applyBorder="1" applyFont="1">
      <alignment horizontal="center"/>
    </xf>
    <xf borderId="3" fillId="4" fontId="3" numFmtId="0" xfId="0" applyAlignment="1" applyBorder="1" applyFont="1">
      <alignment horizontal="center"/>
    </xf>
    <xf borderId="0" fillId="4" fontId="20" numFmtId="165" xfId="0" applyAlignment="1" applyBorder="1" applyFont="1" applyNumberFormat="1">
      <alignment horizontal="center"/>
    </xf>
    <xf borderId="4" fillId="4" fontId="1" numFmtId="165" xfId="0" applyAlignment="1" applyBorder="1" applyFont="1" applyNumberFormat="1">
      <alignment horizontal="right"/>
    </xf>
    <xf borderId="3" fillId="4" fontId="1" numFmtId="2" xfId="0" applyBorder="1" applyFont="1" applyNumberFormat="1"/>
    <xf borderId="0" fillId="4" fontId="1" numFmtId="2" xfId="0" applyBorder="1" applyFont="1" applyNumberFormat="1"/>
    <xf borderId="4" fillId="4" fontId="1" numFmtId="2" xfId="0" applyBorder="1" applyFont="1" applyNumberFormat="1"/>
    <xf borderId="0" fillId="4" fontId="3" numFmtId="0" xfId="0" applyAlignment="1" applyBorder="1" applyFont="1">
      <alignment horizontal="center"/>
    </xf>
    <xf borderId="0" fillId="4" fontId="3" numFmtId="167" xfId="0" applyAlignment="1" applyBorder="1" applyFont="1" applyNumberFormat="1">
      <alignment horizontal="center"/>
    </xf>
    <xf borderId="9" fillId="4" fontId="3" numFmtId="0" xfId="0" applyAlignment="1" applyBorder="1" applyFont="1">
      <alignment horizontal="center"/>
    </xf>
    <xf borderId="9" fillId="4" fontId="1" numFmtId="165" xfId="0" applyAlignment="1" applyBorder="1" applyFont="1" applyNumberFormat="1">
      <alignment horizontal="right"/>
    </xf>
    <xf borderId="0" fillId="4" fontId="3" numFmtId="164" xfId="0" applyAlignment="1" applyBorder="1" applyFont="1" applyNumberFormat="1">
      <alignment horizontal="right"/>
    </xf>
    <xf borderId="9" fillId="4" fontId="2" numFmtId="165" xfId="0" applyAlignment="1" applyBorder="1" applyFont="1" applyNumberFormat="1">
      <alignment horizontal="right"/>
    </xf>
    <xf borderId="0" fillId="4" fontId="2" numFmtId="164" xfId="0" applyAlignment="1" applyBorder="1" applyFont="1" applyNumberFormat="1">
      <alignment horizontal="right"/>
    </xf>
    <xf borderId="1" fillId="5" fontId="22" numFmtId="0" xfId="0" applyBorder="1" applyFill="1" applyFont="1"/>
    <xf borderId="7" fillId="5" fontId="1" numFmtId="0" xfId="0" applyBorder="1" applyFont="1"/>
    <xf borderId="2" fillId="5" fontId="1" numFmtId="0" xfId="0" applyBorder="1" applyFont="1"/>
    <xf borderId="1" fillId="5" fontId="23" numFmtId="0" xfId="0" applyAlignment="1" applyBorder="1" applyFont="1">
      <alignment horizontal="center"/>
    </xf>
    <xf borderId="7" fillId="5" fontId="24" numFmtId="0" xfId="0" applyAlignment="1" applyBorder="1" applyFont="1">
      <alignment horizontal="center"/>
    </xf>
    <xf borderId="3" fillId="5" fontId="25" numFmtId="0" xfId="0" applyAlignment="1" applyBorder="1" applyFont="1">
      <alignment horizontal="center"/>
    </xf>
    <xf borderId="0" fillId="5" fontId="26" numFmtId="0" xfId="0" applyAlignment="1" applyBorder="1" applyFont="1">
      <alignment horizontal="center"/>
    </xf>
    <xf borderId="4" fillId="5" fontId="27" numFmtId="0" xfId="0" applyAlignment="1" applyBorder="1" applyFont="1">
      <alignment horizontal="center"/>
    </xf>
    <xf borderId="3" fillId="5" fontId="1" numFmtId="0" xfId="0" applyAlignment="1" applyBorder="1" applyFont="1">
      <alignment horizontal="center"/>
    </xf>
    <xf borderId="0" fillId="5" fontId="1" numFmtId="0" xfId="0" applyAlignment="1" applyBorder="1" applyFont="1">
      <alignment horizontal="center"/>
    </xf>
    <xf borderId="4" fillId="5" fontId="1" numFmtId="0" xfId="0" applyAlignment="1" applyBorder="1" applyFont="1">
      <alignment horizontal="right"/>
    </xf>
    <xf borderId="3" fillId="5" fontId="1" numFmtId="0" xfId="0" applyBorder="1" applyFont="1"/>
    <xf borderId="0" fillId="5" fontId="1" numFmtId="0" xfId="0" applyBorder="1" applyFont="1"/>
    <xf borderId="4" fillId="5" fontId="1" numFmtId="0" xfId="0" applyBorder="1" applyFont="1"/>
    <xf borderId="0" fillId="4" fontId="3" numFmtId="164" xfId="0" applyAlignment="1" applyBorder="1" applyFont="1" applyNumberFormat="1">
      <alignment horizontal="center"/>
    </xf>
    <xf borderId="0" fillId="4" fontId="1" numFmtId="164" xfId="0" applyAlignment="1" applyBorder="1" applyFont="1" applyNumberFormat="1">
      <alignment horizontal="right"/>
    </xf>
    <xf borderId="5" fillId="5" fontId="5" numFmtId="0" xfId="0" applyAlignment="1" applyBorder="1" applyFont="1">
      <alignment horizontal="center"/>
    </xf>
    <xf borderId="9" fillId="5" fontId="3" numFmtId="165" xfId="0" applyAlignment="1" applyBorder="1" applyFont="1" applyNumberFormat="1">
      <alignment horizontal="center"/>
    </xf>
    <xf borderId="9" fillId="4" fontId="3" numFmtId="167" xfId="0" applyAlignment="1" applyBorder="1" applyFont="1" applyNumberFormat="1">
      <alignment horizontal="center"/>
    </xf>
    <xf borderId="6" fillId="5" fontId="1" numFmtId="165" xfId="0" applyAlignment="1" applyBorder="1" applyFont="1" applyNumberFormat="1">
      <alignment horizontal="center"/>
    </xf>
    <xf borderId="0" fillId="0" fontId="1" numFmtId="169" xfId="0" applyFont="1" applyNumberFormat="1"/>
    <xf borderId="5" fillId="5" fontId="3" numFmtId="0" xfId="0" applyAlignment="1" applyBorder="1" applyFont="1">
      <alignment horizontal="center"/>
    </xf>
    <xf borderId="9" fillId="5" fontId="1" numFmtId="164" xfId="0" applyAlignment="1" applyBorder="1" applyFont="1" applyNumberFormat="1">
      <alignment horizontal="center"/>
    </xf>
    <xf borderId="9" fillId="4" fontId="3" numFmtId="164" xfId="0" applyAlignment="1" applyBorder="1" applyFont="1" applyNumberFormat="1">
      <alignment horizontal="center"/>
    </xf>
    <xf borderId="6" fillId="5" fontId="1" numFmtId="165" xfId="0" applyAlignment="1" applyBorder="1" applyFont="1" applyNumberFormat="1">
      <alignment horizontal="right"/>
    </xf>
    <xf borderId="9" fillId="4" fontId="1" numFmtId="164" xfId="0" applyAlignment="1" applyBorder="1" applyFont="1" applyNumberFormat="1">
      <alignment horizontal="right"/>
    </xf>
    <xf borderId="5" fillId="5" fontId="1" numFmtId="2" xfId="0" applyBorder="1" applyFont="1" applyNumberFormat="1"/>
    <xf borderId="9" fillId="5" fontId="1" numFmtId="0" xfId="0" applyBorder="1" applyFont="1"/>
    <xf borderId="9" fillId="4" fontId="2" numFmtId="164" xfId="0" applyAlignment="1" applyBorder="1" applyFont="1" applyNumberFormat="1">
      <alignment horizontal="right"/>
    </xf>
    <xf borderId="6" fillId="5" fontId="1" numFmtId="2" xfId="0" applyBorder="1" applyFont="1" applyNumberFormat="1"/>
    <xf borderId="9" fillId="4" fontId="1" numFmtId="2" xfId="0" applyBorder="1" applyFont="1" applyNumberFormat="1"/>
    <xf borderId="1" fillId="5" fontId="1" numFmtId="0" xfId="0" applyBorder="1" applyFont="1"/>
    <xf borderId="7" fillId="5" fontId="1" numFmtId="0" xfId="0" applyAlignment="1" applyBorder="1" applyFont="1">
      <alignment horizontal="center"/>
    </xf>
    <xf borderId="7" fillId="5" fontId="1" numFmtId="166" xfId="0" applyAlignment="1" applyBorder="1" applyFont="1" applyNumberFormat="1">
      <alignment horizontal="center"/>
    </xf>
    <xf borderId="5" fillId="5" fontId="1" numFmtId="0" xfId="0" applyBorder="1" applyFont="1"/>
    <xf borderId="9" fillId="5" fontId="1" numFmtId="166" xfId="0" applyBorder="1" applyFont="1" applyNumberFormat="1"/>
    <xf borderId="9" fillId="5" fontId="1" numFmtId="0" xfId="0" applyAlignment="1" applyBorder="1" applyFont="1">
      <alignment horizontal="center"/>
    </xf>
    <xf borderId="6" fillId="5" fontId="1" numFmtId="0" xfId="0" applyBorder="1" applyFont="1"/>
    <xf borderId="6" fillId="5" fontId="1" numFmtId="0" xfId="0" applyAlignment="1" applyBorder="1" applyFont="1">
      <alignment horizontal="right"/>
    </xf>
    <xf borderId="1" fillId="5" fontId="5" numFmtId="3" xfId="0" applyAlignment="1" applyBorder="1" applyFont="1" applyNumberFormat="1">
      <alignment horizontal="center"/>
    </xf>
    <xf borderId="7" fillId="5" fontId="6" numFmtId="164" xfId="0" applyAlignment="1" applyBorder="1" applyFont="1" applyNumberFormat="1">
      <alignment horizontal="center"/>
    </xf>
    <xf borderId="7" fillId="5" fontId="1" numFmtId="14" xfId="0" applyAlignment="1" applyBorder="1" applyFont="1" applyNumberFormat="1">
      <alignment horizontal="center"/>
    </xf>
    <xf borderId="7" fillId="5" fontId="3" numFmtId="9" xfId="0" applyAlignment="1" applyBorder="1" applyFont="1" applyNumberFormat="1">
      <alignment horizontal="center"/>
    </xf>
    <xf borderId="7" fillId="5" fontId="3" numFmtId="167" xfId="0" applyAlignment="1" applyBorder="1" applyFont="1" applyNumberFormat="1">
      <alignment horizontal="center"/>
    </xf>
    <xf borderId="7" fillId="5" fontId="1" numFmtId="165" xfId="0" applyAlignment="1" applyBorder="1" applyFont="1" applyNumberFormat="1">
      <alignment horizontal="right"/>
    </xf>
    <xf borderId="0" fillId="5" fontId="2" numFmtId="165" xfId="0" applyAlignment="1" applyBorder="1" applyFont="1" applyNumberFormat="1">
      <alignment horizontal="right"/>
    </xf>
    <xf borderId="0" fillId="5" fontId="1" numFmtId="165" xfId="0" applyAlignment="1" applyBorder="1" applyFont="1" applyNumberFormat="1">
      <alignment horizontal="right"/>
    </xf>
    <xf borderId="7" fillId="5" fontId="1" numFmtId="0" xfId="0" applyAlignment="1" applyBorder="1" applyFont="1">
      <alignment horizontal="center"/>
    </xf>
    <xf borderId="2" fillId="5" fontId="1" numFmtId="0" xfId="0" applyAlignment="1" applyBorder="1" applyFont="1">
      <alignment horizontal="center"/>
    </xf>
    <xf borderId="1" fillId="5" fontId="3" numFmtId="3" xfId="0" applyAlignment="1" applyBorder="1" applyFont="1" applyNumberFormat="1">
      <alignment horizontal="center"/>
    </xf>
    <xf borderId="7" fillId="5" fontId="20" numFmtId="164" xfId="0" applyAlignment="1" applyBorder="1" applyFont="1" applyNumberFormat="1">
      <alignment horizontal="center"/>
    </xf>
    <xf borderId="2" fillId="5" fontId="1" numFmtId="165" xfId="0" applyAlignment="1" applyBorder="1" applyFont="1" applyNumberFormat="1">
      <alignment horizontal="right"/>
    </xf>
    <xf borderId="1" fillId="5" fontId="1" numFmtId="2" xfId="0" applyBorder="1" applyFont="1" applyNumberFormat="1"/>
    <xf borderId="1" fillId="5" fontId="1" numFmtId="170" xfId="0" applyBorder="1" applyFont="1" applyNumberFormat="1"/>
    <xf borderId="7" fillId="5" fontId="1" numFmtId="2" xfId="0" applyBorder="1" applyFont="1" applyNumberFormat="1"/>
    <xf borderId="7" fillId="5" fontId="1" numFmtId="1" xfId="0" applyBorder="1" applyFont="1" applyNumberFormat="1"/>
    <xf borderId="7" fillId="5" fontId="1" numFmtId="171" xfId="0" applyBorder="1" applyFont="1" applyNumberFormat="1"/>
    <xf borderId="2" fillId="5" fontId="1" numFmtId="2" xfId="0" applyBorder="1" applyFont="1" applyNumberFormat="1"/>
    <xf borderId="3" fillId="5" fontId="5" numFmtId="0" xfId="0" applyAlignment="1" applyBorder="1" applyFont="1">
      <alignment horizontal="center"/>
    </xf>
    <xf borderId="0" fillId="5" fontId="1" numFmtId="168" xfId="0" applyAlignment="1" applyBorder="1" applyFont="1" applyNumberFormat="1">
      <alignment horizontal="center"/>
    </xf>
    <xf borderId="0" fillId="5" fontId="1" numFmtId="14" xfId="0" applyAlignment="1" applyBorder="1" applyFont="1" applyNumberFormat="1">
      <alignment horizontal="center"/>
    </xf>
    <xf borderId="0" fillId="5" fontId="1" numFmtId="167" xfId="0" applyAlignment="1" applyBorder="1" applyFont="1" applyNumberFormat="1">
      <alignment horizontal="center"/>
    </xf>
    <xf borderId="0" fillId="5" fontId="1" numFmtId="9" xfId="0" applyAlignment="1" applyBorder="1" applyFont="1" applyNumberFormat="1">
      <alignment horizontal="center"/>
    </xf>
    <xf borderId="0" fillId="5" fontId="3" numFmtId="165" xfId="0" applyAlignment="1" applyBorder="1" applyFont="1" applyNumberFormat="1">
      <alignment horizontal="right"/>
    </xf>
    <xf borderId="0" fillId="5" fontId="1" numFmtId="0" xfId="0" applyAlignment="1" applyBorder="1" applyFont="1">
      <alignment horizontal="center"/>
    </xf>
    <xf borderId="4" fillId="5" fontId="1" numFmtId="0" xfId="0" applyAlignment="1" applyBorder="1" applyFont="1">
      <alignment horizontal="center"/>
    </xf>
    <xf borderId="3" fillId="5" fontId="3" numFmtId="0" xfId="0" applyAlignment="1" applyBorder="1" applyFont="1">
      <alignment horizontal="center"/>
    </xf>
    <xf borderId="0" fillId="5" fontId="20" numFmtId="164" xfId="0" applyAlignment="1" applyBorder="1" applyFont="1" applyNumberFormat="1">
      <alignment horizontal="center"/>
    </xf>
    <xf borderId="4" fillId="5" fontId="1" numFmtId="165" xfId="0" applyAlignment="1" applyBorder="1" applyFont="1" applyNumberFormat="1">
      <alignment horizontal="right"/>
    </xf>
    <xf borderId="3" fillId="5" fontId="1" numFmtId="2" xfId="0" applyBorder="1" applyFont="1" applyNumberFormat="1"/>
    <xf borderId="0" fillId="5" fontId="1" numFmtId="2" xfId="0" applyBorder="1" applyFont="1" applyNumberFormat="1"/>
    <xf borderId="4" fillId="5" fontId="1" numFmtId="2" xfId="0" applyBorder="1" applyFont="1" applyNumberFormat="1"/>
    <xf borderId="0" fillId="5" fontId="3" numFmtId="0" xfId="0" applyAlignment="1" applyBorder="1" applyFont="1">
      <alignment horizontal="center"/>
    </xf>
    <xf borderId="0" fillId="5" fontId="1" numFmtId="164" xfId="0" applyAlignment="1" applyBorder="1" applyFont="1" applyNumberFormat="1">
      <alignment horizontal="center"/>
    </xf>
    <xf borderId="4" fillId="5" fontId="1" numFmtId="0" xfId="0" applyAlignment="1" applyBorder="1" applyFont="1">
      <alignment horizontal="center"/>
    </xf>
    <xf borderId="0" fillId="5" fontId="3" numFmtId="167" xfId="0" applyAlignment="1" applyBorder="1" applyFont="1" applyNumberFormat="1">
      <alignment horizontal="center"/>
    </xf>
    <xf borderId="0" fillId="5" fontId="3" numFmtId="164" xfId="0" applyAlignment="1" applyBorder="1" applyFont="1" applyNumberFormat="1">
      <alignment horizontal="right"/>
    </xf>
    <xf borderId="9" fillId="5" fontId="3" numFmtId="0" xfId="0" applyAlignment="1" applyBorder="1" applyFont="1">
      <alignment horizontal="center"/>
    </xf>
    <xf borderId="9" fillId="5" fontId="1" numFmtId="165" xfId="0" applyAlignment="1" applyBorder="1" applyFont="1" applyNumberFormat="1">
      <alignment horizontal="right"/>
    </xf>
    <xf borderId="9" fillId="5" fontId="2" numFmtId="165" xfId="0" applyAlignment="1" applyBorder="1" applyFont="1" applyNumberFormat="1">
      <alignment horizontal="right"/>
    </xf>
    <xf borderId="6" fillId="5" fontId="1" numFmtId="0" xfId="0" applyAlignment="1" applyBorder="1" applyFont="1">
      <alignment horizontal="center"/>
    </xf>
    <xf borderId="9" fillId="5" fontId="1" numFmtId="2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" width="8.86"/>
    <col customWidth="1" min="3" max="3" width="12.0"/>
    <col customWidth="1" min="4" max="14" width="8.86"/>
    <col customWidth="1" min="15" max="26" width="10.0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1"/>
      <c r="C5" s="3">
        <v>42297.0</v>
      </c>
      <c r="D5" s="1" t="s">
        <v>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1"/>
      <c r="C6" s="1"/>
      <c r="D6" s="1" t="s">
        <v>3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"/>
      <c r="C7" s="1"/>
      <c r="D7" s="1" t="s">
        <v>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"/>
      <c r="C8" s="1"/>
      <c r="D8" s="1" t="s">
        <v>5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1"/>
      <c r="C9" s="1"/>
      <c r="D9" s="1" t="s">
        <v>6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1"/>
      <c r="C10" s="3">
        <v>42304.0</v>
      </c>
      <c r="D10" s="1" t="s">
        <v>7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1"/>
      <c r="C11" s="1"/>
      <c r="D11" s="1" t="s">
        <v>8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1"/>
      <c r="C12" s="1"/>
      <c r="D12" s="1" t="s">
        <v>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1"/>
      <c r="C13" s="1"/>
      <c r="D13" s="1" t="s">
        <v>11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1"/>
      <c r="C14" s="1"/>
      <c r="D14" s="1" t="s">
        <v>12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8.86"/>
    <col customWidth="1" min="2" max="2" width="10.14"/>
    <col customWidth="1" min="3" max="3" width="15.14"/>
    <col customWidth="1" min="4" max="4" width="14.86"/>
    <col customWidth="1" min="5" max="14" width="8.86"/>
    <col customWidth="1" min="15" max="26" width="10.0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6" t="s">
        <v>1</v>
      </c>
      <c r="C4" s="8" t="s">
        <v>13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6" t="s">
        <v>0</v>
      </c>
      <c r="C6" s="6" t="s">
        <v>15</v>
      </c>
      <c r="D6" s="6" t="s">
        <v>16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5">
        <v>42297.0</v>
      </c>
      <c r="C7" s="10">
        <v>0.0</v>
      </c>
      <c r="D7" s="10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5">
        <v>42304.0</v>
      </c>
      <c r="C8" s="10">
        <v>-5839.14</v>
      </c>
      <c r="D8" s="10" t="str">
        <f>C8-C7</f>
        <v>-$5,839.14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5"/>
      <c r="C9" s="10"/>
      <c r="D9" s="10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5"/>
      <c r="C10" s="10"/>
      <c r="D10" s="10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5"/>
      <c r="C11" s="10"/>
      <c r="D11" s="10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5"/>
      <c r="C12" s="10"/>
      <c r="D12" s="10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5"/>
      <c r="C13" s="10"/>
      <c r="D13" s="10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5"/>
      <c r="C14" s="10"/>
      <c r="D14" s="10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5"/>
      <c r="C15" s="10"/>
      <c r="D15" s="10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5"/>
      <c r="C16" s="10"/>
      <c r="D16" s="10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5"/>
      <c r="C17" s="10"/>
      <c r="D17" s="10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5"/>
      <c r="C18" s="10"/>
      <c r="D18" s="10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5"/>
      <c r="C19" s="10"/>
      <c r="D19" s="10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5"/>
      <c r="C20" s="10"/>
      <c r="D20" s="10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5"/>
      <c r="C21" s="10"/>
      <c r="D21" s="10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5"/>
      <c r="C22" s="10"/>
      <c r="D22" s="10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5"/>
      <c r="C23" s="10"/>
      <c r="D23" s="10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5"/>
      <c r="C24" s="10"/>
      <c r="D24" s="10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5"/>
      <c r="C25" s="10"/>
      <c r="D25" s="10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5"/>
      <c r="C26" s="10"/>
      <c r="D26" s="10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5"/>
      <c r="C27" s="10"/>
      <c r="D27" s="10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5"/>
      <c r="C28" s="10"/>
      <c r="D28" s="10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5"/>
      <c r="C29" s="10"/>
      <c r="D29" s="10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5"/>
      <c r="C30" s="10"/>
      <c r="D30" s="10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5"/>
      <c r="C31" s="10"/>
      <c r="D31" s="10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5"/>
      <c r="C32" s="10"/>
      <c r="D32" s="10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5"/>
      <c r="C33" s="10"/>
      <c r="D33" s="10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5"/>
      <c r="C34" s="10"/>
      <c r="D34" s="10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5"/>
      <c r="C35" s="10"/>
      <c r="D35" s="10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5"/>
      <c r="C36" s="10"/>
      <c r="D36" s="10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5"/>
      <c r="C37" s="10"/>
      <c r="D37" s="10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5"/>
      <c r="C38" s="10"/>
      <c r="D38" s="10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5"/>
      <c r="C39" s="10"/>
      <c r="D39" s="10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5"/>
      <c r="C40" s="10"/>
      <c r="D40" s="10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5"/>
      <c r="C41" s="10"/>
      <c r="D41" s="10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5"/>
      <c r="C42" s="10"/>
      <c r="D42" s="10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5"/>
      <c r="C43" s="10"/>
      <c r="D43" s="10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5"/>
      <c r="C44" s="10"/>
      <c r="D44" s="10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5"/>
      <c r="C45" s="10"/>
      <c r="D45" s="10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5"/>
      <c r="C46" s="10"/>
      <c r="D46" s="10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5"/>
      <c r="C47" s="10"/>
      <c r="D47" s="10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5"/>
      <c r="C48" s="10"/>
      <c r="D48" s="10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5"/>
      <c r="C49" s="10"/>
      <c r="D49" s="10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5"/>
      <c r="C50" s="10"/>
      <c r="D50" s="10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5"/>
      <c r="C51" s="10"/>
      <c r="D51" s="10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5"/>
      <c r="C52" s="10"/>
      <c r="D52" s="10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5"/>
      <c r="C53" s="10"/>
      <c r="D53" s="10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5"/>
      <c r="C54" s="10"/>
      <c r="D54" s="10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5"/>
      <c r="C55" s="10"/>
      <c r="D55" s="10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5"/>
      <c r="C56" s="10"/>
      <c r="D56" s="10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5"/>
      <c r="C57" s="10"/>
      <c r="D57" s="10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5"/>
      <c r="C58" s="10"/>
      <c r="D58" s="10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5"/>
      <c r="C59" s="10"/>
      <c r="D59" s="10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5"/>
      <c r="C60" s="10"/>
      <c r="D60" s="10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5"/>
      <c r="C61" s="10"/>
      <c r="D61" s="10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5"/>
      <c r="C62" s="10"/>
      <c r="D62" s="10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5"/>
      <c r="C63" s="10"/>
      <c r="D63" s="10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5"/>
      <c r="C64" s="10"/>
      <c r="D64" s="10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5"/>
      <c r="C65" s="10"/>
      <c r="D65" s="10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5"/>
      <c r="C66" s="10"/>
      <c r="D66" s="10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5"/>
      <c r="C67" s="10"/>
      <c r="D67" s="10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5"/>
      <c r="C68" s="10"/>
      <c r="D68" s="10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5"/>
      <c r="C69" s="10"/>
      <c r="D69" s="10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5"/>
      <c r="C70" s="10"/>
      <c r="D70" s="10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5"/>
      <c r="C71" s="10"/>
      <c r="D71" s="10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5"/>
      <c r="C72" s="10"/>
      <c r="D72" s="10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5"/>
      <c r="C73" s="10"/>
      <c r="D73" s="10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5"/>
      <c r="C74" s="10"/>
      <c r="D74" s="10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5"/>
      <c r="C75" s="10"/>
      <c r="D75" s="10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5"/>
      <c r="C76" s="10"/>
      <c r="D76" s="10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5"/>
      <c r="C77" s="10"/>
      <c r="D77" s="10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5"/>
      <c r="C78" s="10"/>
      <c r="D78" s="10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5"/>
      <c r="C79" s="10"/>
      <c r="D79" s="10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5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8.86"/>
    <col customWidth="1" min="2" max="2" width="15.14"/>
    <col customWidth="1" min="3" max="3" width="11.86"/>
    <col customWidth="1" min="4" max="4" width="12.71"/>
    <col customWidth="1" min="5" max="5" width="14.43"/>
    <col customWidth="1" min="6" max="6" width="9.0"/>
    <col customWidth="1" min="7" max="7" width="14.0"/>
    <col customWidth="1" min="8" max="8" width="14.86"/>
    <col customWidth="1" min="9" max="9" width="20.29"/>
    <col customWidth="1" min="10" max="10" width="13.71"/>
    <col customWidth="1" min="11" max="13" width="8.29"/>
    <col customWidth="1" min="14" max="15" width="14.0"/>
    <col customWidth="1" min="16" max="16" width="13.43"/>
    <col customWidth="1" min="17" max="17" width="5.43"/>
    <col customWidth="1" min="18" max="21" width="13.0"/>
    <col customWidth="1" min="22" max="31" width="8.86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ht="12.75" customHeight="1">
      <c r="A2" s="1"/>
      <c r="B2" s="2" t="s">
        <v>0</v>
      </c>
      <c r="C2" s="4">
        <v>42297.0</v>
      </c>
      <c r="D2" s="5"/>
      <c r="E2" s="7" t="s">
        <v>10</v>
      </c>
      <c r="F2" s="1" t="s">
        <v>14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ht="12.75" customHeight="1">
      <c r="A3" s="1"/>
      <c r="B3" s="9"/>
      <c r="C3" s="11"/>
      <c r="D3" s="1"/>
      <c r="E3" s="12" t="s">
        <v>17</v>
      </c>
      <c r="F3" s="1" t="s">
        <v>18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ht="13.5" customHeight="1">
      <c r="A4" s="1"/>
      <c r="B4" s="13" t="s">
        <v>19</v>
      </c>
      <c r="C4" s="14">
        <v>42297.0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ht="12.75" customHeight="1">
      <c r="A5" s="1"/>
      <c r="B5" s="1"/>
      <c r="C5" s="15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ht="12.75" customHeight="1">
      <c r="A6" s="1"/>
      <c r="B6" s="1" t="s">
        <v>20</v>
      </c>
      <c r="C6" s="15">
        <v>0.03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ht="12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ht="12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ht="19.5" customHeight="1">
      <c r="A9" s="1"/>
      <c r="B9" s="16" t="s">
        <v>21</v>
      </c>
      <c r="C9" s="1"/>
      <c r="D9" s="1"/>
      <c r="E9" s="1"/>
      <c r="F9" s="17"/>
      <c r="G9" s="1"/>
      <c r="H9" s="1"/>
      <c r="I9" s="1"/>
      <c r="J9" s="1"/>
      <c r="K9" s="1"/>
      <c r="L9" s="1"/>
      <c r="M9" s="1"/>
      <c r="N9" s="16" t="s">
        <v>22</v>
      </c>
      <c r="O9" s="16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ht="13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ht="18.0" customHeight="1">
      <c r="A11" s="1"/>
      <c r="B11" s="18" t="s">
        <v>23</v>
      </c>
      <c r="C11" s="19" t="s">
        <v>24</v>
      </c>
      <c r="D11" s="20" t="s">
        <v>25</v>
      </c>
      <c r="E11" s="1"/>
      <c r="F11" s="1"/>
      <c r="G11" s="1"/>
      <c r="H11" s="1"/>
      <c r="I11" s="21" t="s">
        <v>15</v>
      </c>
      <c r="J11" s="22"/>
      <c r="K11" s="1"/>
      <c r="L11" s="1"/>
      <c r="M11" s="1"/>
      <c r="N11" s="23" t="s">
        <v>26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ht="18.75" customHeight="1">
      <c r="A12" s="1"/>
      <c r="B12" s="24">
        <v>255884.29</v>
      </c>
      <c r="C12" s="25" t="str">
        <f>(C2-C4)/365</f>
        <v>0</v>
      </c>
      <c r="D12" s="26" t="str">
        <f>B12*EXP($C$6*C12)</f>
        <v> $ 255,884.29 </v>
      </c>
      <c r="E12" s="1"/>
      <c r="F12" s="1"/>
      <c r="G12" s="27"/>
      <c r="H12" s="1"/>
      <c r="I12" s="28" t="str">
        <f>D12+D16+SUM(I20:I29)+D33+SUM(I37:I46)</f>
        <v>-$ 0.00 </v>
      </c>
      <c r="J12" s="29"/>
      <c r="K12" s="1"/>
      <c r="L12" s="1"/>
      <c r="M12" s="1"/>
      <c r="N12" s="30" t="str">
        <f>D12+P16+SUM(P20:P29)+P33+SUM(P37:P53)</f>
        <v>-$ 4,220,432.17 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ht="13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ht="12.75" customHeight="1">
      <c r="A14" s="1"/>
      <c r="B14" s="31" t="s">
        <v>27</v>
      </c>
      <c r="C14" s="32"/>
      <c r="D14" s="33"/>
      <c r="E14" s="1"/>
      <c r="F14" s="1"/>
      <c r="G14" s="1"/>
      <c r="H14" s="1"/>
      <c r="I14" s="1"/>
      <c r="J14" s="1"/>
      <c r="K14" s="1"/>
      <c r="L14" s="1"/>
      <c r="M14" s="1"/>
      <c r="N14" s="34" t="s">
        <v>27</v>
      </c>
      <c r="O14" s="35"/>
      <c r="P14" s="36"/>
      <c r="Q14" s="1"/>
      <c r="R14" s="31" t="s">
        <v>27</v>
      </c>
      <c r="S14" s="32"/>
      <c r="T14" s="32"/>
      <c r="U14" s="33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ht="12.75" customHeight="1">
      <c r="A15" s="1"/>
      <c r="B15" s="37" t="s">
        <v>28</v>
      </c>
      <c r="C15" s="38" t="s">
        <v>29</v>
      </c>
      <c r="D15" s="39" t="s">
        <v>30</v>
      </c>
      <c r="E15" s="1"/>
      <c r="F15" s="1"/>
      <c r="G15" s="1"/>
      <c r="H15" s="1"/>
      <c r="I15" s="1"/>
      <c r="J15" s="1"/>
      <c r="K15" s="1"/>
      <c r="L15" s="1"/>
      <c r="M15" s="1"/>
      <c r="N15" s="40" t="s">
        <v>28</v>
      </c>
      <c r="O15" s="41" t="s">
        <v>30</v>
      </c>
      <c r="P15" s="42" t="s">
        <v>31</v>
      </c>
      <c r="Q15" s="1"/>
      <c r="R15" s="43" t="s">
        <v>32</v>
      </c>
      <c r="S15" s="44"/>
      <c r="T15" s="44"/>
      <c r="U15" s="45" t="s">
        <v>33</v>
      </c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ht="13.5" customHeight="1">
      <c r="A16" s="1"/>
      <c r="B16" s="46">
        <v>0.0</v>
      </c>
      <c r="C16" s="47">
        <v>813.35</v>
      </c>
      <c r="D16" s="48" t="str">
        <f>B16*C16</f>
        <v> $ -   </v>
      </c>
      <c r="E16" s="1"/>
      <c r="F16" s="1"/>
      <c r="G16" s="1"/>
      <c r="H16" s="1"/>
      <c r="I16" s="17"/>
      <c r="J16" s="1"/>
      <c r="K16" s="1"/>
      <c r="L16" s="1"/>
      <c r="M16" s="1"/>
      <c r="N16" s="49">
        <v>7830.0</v>
      </c>
      <c r="O16" s="50" t="str">
        <f>N16*C16</f>
        <v>$6,368,530.50</v>
      </c>
      <c r="P16" s="51" t="str">
        <f>(B16-N16)*C16</f>
        <v>-$6,368,530.50</v>
      </c>
      <c r="Q16" s="1"/>
      <c r="R16" s="52" t="str">
        <f>N16+SUM(S20:S29)</f>
        <v>0.00</v>
      </c>
      <c r="S16" s="53"/>
      <c r="T16" s="53"/>
      <c r="U16" s="54" t="str">
        <f>SUM(U20:U29)</f>
        <v>-240.00</v>
      </c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ht="13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55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ht="12.75" customHeight="1">
      <c r="A18" s="1"/>
      <c r="B18" s="56" t="s">
        <v>34</v>
      </c>
      <c r="C18" s="57"/>
      <c r="D18" s="57"/>
      <c r="E18" s="57"/>
      <c r="F18" s="57"/>
      <c r="G18" s="57" t="s">
        <v>35</v>
      </c>
      <c r="H18" s="57" t="s">
        <v>36</v>
      </c>
      <c r="I18" s="58"/>
      <c r="J18" s="57" t="s">
        <v>37</v>
      </c>
      <c r="K18" s="57" t="s">
        <v>38</v>
      </c>
      <c r="L18" s="57"/>
      <c r="M18" s="59"/>
      <c r="N18" s="34" t="s">
        <v>34</v>
      </c>
      <c r="O18" s="35"/>
      <c r="P18" s="36"/>
      <c r="Q18" s="1"/>
      <c r="R18" s="60"/>
      <c r="S18" s="32"/>
      <c r="T18" s="32"/>
      <c r="U18" s="33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ht="13.5" customHeight="1">
      <c r="A19" s="1"/>
      <c r="B19" s="61" t="s">
        <v>28</v>
      </c>
      <c r="C19" s="62" t="s">
        <v>39</v>
      </c>
      <c r="D19" s="62" t="s">
        <v>40</v>
      </c>
      <c r="E19" s="62" t="s">
        <v>41</v>
      </c>
      <c r="F19" s="62" t="s">
        <v>42</v>
      </c>
      <c r="G19" s="63" t="s">
        <v>43</v>
      </c>
      <c r="H19" s="63" t="s">
        <v>43</v>
      </c>
      <c r="I19" s="62" t="s">
        <v>30</v>
      </c>
      <c r="J19" s="62" t="s">
        <v>44</v>
      </c>
      <c r="K19" s="62" t="s">
        <v>45</v>
      </c>
      <c r="L19" s="62" t="s">
        <v>46</v>
      </c>
      <c r="M19" s="64" t="s">
        <v>47</v>
      </c>
      <c r="N19" s="61" t="s">
        <v>28</v>
      </c>
      <c r="O19" s="62" t="s">
        <v>30</v>
      </c>
      <c r="P19" s="65" t="s">
        <v>31</v>
      </c>
      <c r="Q19" s="1"/>
      <c r="R19" s="66" t="s">
        <v>48</v>
      </c>
      <c r="S19" s="53" t="s">
        <v>49</v>
      </c>
      <c r="T19" s="53" t="s">
        <v>50</v>
      </c>
      <c r="U19" s="67" t="s">
        <v>51</v>
      </c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ht="12.75" customHeight="1">
      <c r="A20" s="1"/>
      <c r="B20" s="68">
        <v>-15000.0</v>
      </c>
      <c r="C20" s="57" t="s">
        <v>52</v>
      </c>
      <c r="D20" s="69">
        <v>814.0</v>
      </c>
      <c r="E20" s="70">
        <v>42346.0</v>
      </c>
      <c r="F20" s="71">
        <v>0.13</v>
      </c>
      <c r="G20" s="72">
        <v>10.39</v>
      </c>
      <c r="H20" s="72">
        <v>10.39</v>
      </c>
      <c r="I20" s="73" t="str">
        <f t="shared" ref="I20:I21" si="1">B20*AVERAGE(H20,G20)</f>
        <v>-$155,850.00</v>
      </c>
      <c r="J20" s="73"/>
      <c r="K20" s="74" t="str">
        <f t="shared" ref="K20:K21" si="2">(E20-$C$2)/365</f>
        <v>0.1342465753</v>
      </c>
      <c r="L20" s="57"/>
      <c r="M20" s="57"/>
      <c r="N20" s="75" t="str">
        <f>B20</f>
        <v>-15,000</v>
      </c>
      <c r="O20" s="76" t="str">
        <f t="shared" ref="O20:O21" si="3">N20*AVERAGE(G20:H20)</f>
        <v>-$155,850</v>
      </c>
      <c r="P20" s="77" t="str">
        <f t="shared" ref="P20:P21" si="4">MIN((B20-N20)*G20,(B20-N20)*H20)</f>
        <v>$0.00</v>
      </c>
      <c r="Q20" s="1"/>
      <c r="R20" s="78">
        <v>0.522</v>
      </c>
      <c r="S20" s="80" t="str">
        <f>R20*N20</f>
        <v>-7830</v>
      </c>
      <c r="T20" s="83">
        <v>0.016</v>
      </c>
      <c r="U20" s="84" t="str">
        <f>T20*N20</f>
        <v>-240.00</v>
      </c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ht="12.75" customHeight="1">
      <c r="A21" s="1"/>
      <c r="B21" s="85">
        <v>0.0</v>
      </c>
      <c r="C21" s="41" t="s">
        <v>53</v>
      </c>
      <c r="D21" s="86">
        <v>840.0</v>
      </c>
      <c r="E21" s="87">
        <v>42356.0</v>
      </c>
      <c r="F21" s="88">
        <v>0.075</v>
      </c>
      <c r="G21" s="89">
        <v>9.1</v>
      </c>
      <c r="H21" s="89">
        <v>10.5</v>
      </c>
      <c r="I21" s="90" t="str">
        <f t="shared" si="1"/>
        <v>$0.00</v>
      </c>
      <c r="J21" s="91" t="str">
        <f>-$C$16*NORMSDIST(-M21)+D21*EXP(-$C$6*K21)*NORMSDIST(-L21)</f>
        <v>$25.05</v>
      </c>
      <c r="K21" s="92" t="str">
        <f t="shared" si="2"/>
        <v>0.1616438356</v>
      </c>
      <c r="L21" s="92" t="str">
        <f>(LN($C$16/D21)+($C$6-F21*F21/2)*K21)/(F21*SQRT(K21))</f>
        <v>-0.9234576278</v>
      </c>
      <c r="M21" s="92" t="str">
        <f>L21+F21*SQRT(K21)</f>
        <v>-0.893303912</v>
      </c>
      <c r="N21" s="93">
        <v>0.0</v>
      </c>
      <c r="O21" s="94" t="str">
        <f t="shared" si="3"/>
        <v>$0.00</v>
      </c>
      <c r="P21" s="95" t="str">
        <f t="shared" si="4"/>
        <v>$0.00</v>
      </c>
      <c r="Q21" s="1"/>
      <c r="R21" s="43"/>
      <c r="S21" s="44"/>
      <c r="T21" s="44"/>
      <c r="U21" s="45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ht="12.75" customHeight="1">
      <c r="A22" s="1"/>
      <c r="B22" s="85"/>
      <c r="C22" s="41"/>
      <c r="D22" s="41"/>
      <c r="E22" s="41"/>
      <c r="F22" s="99"/>
      <c r="G22" s="99"/>
      <c r="H22" s="91"/>
      <c r="I22" s="90"/>
      <c r="J22" s="90"/>
      <c r="K22" s="41"/>
      <c r="L22" s="41"/>
      <c r="M22" s="41"/>
      <c r="N22" s="93"/>
      <c r="O22" s="99"/>
      <c r="P22" s="95"/>
      <c r="Q22" s="1"/>
      <c r="R22" s="43"/>
      <c r="S22" s="44"/>
      <c r="T22" s="44"/>
      <c r="U22" s="45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ht="12.75" customHeight="1">
      <c r="A23" s="1"/>
      <c r="B23" s="85"/>
      <c r="C23" s="41"/>
      <c r="D23" s="41"/>
      <c r="E23" s="41"/>
      <c r="F23" s="99"/>
      <c r="G23" s="99"/>
      <c r="H23" s="91"/>
      <c r="I23" s="90"/>
      <c r="J23" s="90"/>
      <c r="K23" s="41"/>
      <c r="L23" s="41"/>
      <c r="M23" s="41"/>
      <c r="N23" s="93"/>
      <c r="O23" s="99"/>
      <c r="P23" s="95"/>
      <c r="Q23" s="1"/>
      <c r="R23" s="43"/>
      <c r="S23" s="44"/>
      <c r="T23" s="44"/>
      <c r="U23" s="45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ht="12.75" customHeight="1">
      <c r="A24" s="1"/>
      <c r="B24" s="85"/>
      <c r="C24" s="41"/>
      <c r="D24" s="41"/>
      <c r="E24" s="41"/>
      <c r="F24" s="99"/>
      <c r="G24" s="99"/>
      <c r="H24" s="91"/>
      <c r="I24" s="90"/>
      <c r="J24" s="90"/>
      <c r="K24" s="41"/>
      <c r="L24" s="41"/>
      <c r="M24" s="41"/>
      <c r="N24" s="93"/>
      <c r="O24" s="99"/>
      <c r="P24" s="95"/>
      <c r="Q24" s="1"/>
      <c r="R24" s="43"/>
      <c r="S24" s="44"/>
      <c r="T24" s="44"/>
      <c r="U24" s="45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ht="12.75" customHeight="1">
      <c r="A25" s="1"/>
      <c r="B25" s="85"/>
      <c r="C25" s="41"/>
      <c r="D25" s="41"/>
      <c r="E25" s="41"/>
      <c r="F25" s="99"/>
      <c r="G25" s="99"/>
      <c r="H25" s="91"/>
      <c r="I25" s="90"/>
      <c r="J25" s="90"/>
      <c r="K25" s="41"/>
      <c r="L25" s="41"/>
      <c r="M25" s="41"/>
      <c r="N25" s="93"/>
      <c r="O25" s="99"/>
      <c r="P25" s="95"/>
      <c r="Q25" s="1"/>
      <c r="R25" s="43"/>
      <c r="S25" s="44"/>
      <c r="T25" s="44"/>
      <c r="U25" s="45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ht="12.75" customHeight="1">
      <c r="A26" s="1"/>
      <c r="B26" s="85"/>
      <c r="C26" s="41"/>
      <c r="D26" s="41"/>
      <c r="E26" s="41"/>
      <c r="F26" s="99"/>
      <c r="G26" s="99"/>
      <c r="H26" s="91"/>
      <c r="I26" s="90"/>
      <c r="J26" s="90"/>
      <c r="K26" s="41"/>
      <c r="L26" s="41"/>
      <c r="M26" s="41"/>
      <c r="N26" s="93"/>
      <c r="O26" s="99"/>
      <c r="P26" s="95"/>
      <c r="Q26" s="1"/>
      <c r="R26" s="43"/>
      <c r="S26" s="44"/>
      <c r="T26" s="44"/>
      <c r="U26" s="45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ht="12.75" customHeight="1">
      <c r="A27" s="1"/>
      <c r="B27" s="85"/>
      <c r="C27" s="41"/>
      <c r="D27" s="41"/>
      <c r="E27" s="41"/>
      <c r="F27" s="99"/>
      <c r="G27" s="99"/>
      <c r="H27" s="91"/>
      <c r="I27" s="90"/>
      <c r="J27" s="90"/>
      <c r="K27" s="41"/>
      <c r="L27" s="41"/>
      <c r="M27" s="41"/>
      <c r="N27" s="93"/>
      <c r="O27" s="99"/>
      <c r="P27" s="95"/>
      <c r="Q27" s="1"/>
      <c r="R27" s="43"/>
      <c r="S27" s="44"/>
      <c r="T27" s="44"/>
      <c r="U27" s="45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ht="12.75" customHeight="1">
      <c r="A28" s="1"/>
      <c r="B28" s="85"/>
      <c r="C28" s="41"/>
      <c r="D28" s="41"/>
      <c r="E28" s="41"/>
      <c r="F28" s="99"/>
      <c r="G28" s="99"/>
      <c r="H28" s="91"/>
      <c r="I28" s="90"/>
      <c r="J28" s="90"/>
      <c r="K28" s="41"/>
      <c r="L28" s="41"/>
      <c r="M28" s="41"/>
      <c r="N28" s="93"/>
      <c r="O28" s="99"/>
      <c r="P28" s="95"/>
      <c r="Q28" s="1"/>
      <c r="R28" s="43"/>
      <c r="S28" s="44"/>
      <c r="T28" s="44"/>
      <c r="U28" s="45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ht="13.5" customHeight="1">
      <c r="A29" s="1"/>
      <c r="B29" s="46"/>
      <c r="C29" s="62"/>
      <c r="D29" s="62"/>
      <c r="E29" s="62"/>
      <c r="F29" s="101"/>
      <c r="G29" s="101"/>
      <c r="H29" s="102"/>
      <c r="I29" s="104"/>
      <c r="J29" s="104"/>
      <c r="K29" s="62"/>
      <c r="L29" s="62"/>
      <c r="M29" s="62"/>
      <c r="N29" s="49"/>
      <c r="O29" s="101"/>
      <c r="P29" s="51"/>
      <c r="Q29" s="1"/>
      <c r="R29" s="66"/>
      <c r="S29" s="53"/>
      <c r="T29" s="53"/>
      <c r="U29" s="67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ht="13.5" customHeight="1">
      <c r="A30" s="1"/>
      <c r="B30" s="1"/>
      <c r="C30" s="1"/>
      <c r="D30" s="1"/>
      <c r="E30" s="1"/>
      <c r="F30" s="1"/>
      <c r="G30" s="1"/>
      <c r="H30" s="27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ht="12.75" customHeight="1">
      <c r="A31" s="1"/>
      <c r="B31" s="106" t="s">
        <v>55</v>
      </c>
      <c r="C31" s="107"/>
      <c r="D31" s="108"/>
      <c r="E31" s="1"/>
      <c r="F31" s="1"/>
      <c r="G31" s="1"/>
      <c r="H31" s="27"/>
      <c r="I31" s="1"/>
      <c r="J31" s="1"/>
      <c r="K31" s="1"/>
      <c r="L31" s="1"/>
      <c r="M31" s="1"/>
      <c r="N31" s="109" t="s">
        <v>55</v>
      </c>
      <c r="O31" s="110"/>
      <c r="P31" s="108"/>
      <c r="Q31" s="1"/>
      <c r="R31" s="106" t="s">
        <v>55</v>
      </c>
      <c r="S31" s="107"/>
      <c r="T31" s="107"/>
      <c r="U31" s="108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ht="12.75" customHeight="1">
      <c r="A32" s="1"/>
      <c r="B32" s="111" t="s">
        <v>28</v>
      </c>
      <c r="C32" s="112" t="s">
        <v>29</v>
      </c>
      <c r="D32" s="113" t="s">
        <v>30</v>
      </c>
      <c r="E32" s="1"/>
      <c r="F32" s="17"/>
      <c r="G32" s="17"/>
      <c r="H32" s="27"/>
      <c r="I32" s="1"/>
      <c r="J32" s="1"/>
      <c r="K32" s="1"/>
      <c r="L32" s="1"/>
      <c r="M32" s="1"/>
      <c r="N32" s="114" t="s">
        <v>28</v>
      </c>
      <c r="O32" s="115" t="s">
        <v>30</v>
      </c>
      <c r="P32" s="116" t="s">
        <v>31</v>
      </c>
      <c r="Q32" s="1"/>
      <c r="R32" s="117" t="s">
        <v>56</v>
      </c>
      <c r="S32" s="118"/>
      <c r="T32" s="118"/>
      <c r="U32" s="119" t="s">
        <v>33</v>
      </c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ht="13.5" customHeight="1">
      <c r="A33" s="1"/>
      <c r="B33" s="122">
        <v>0.0</v>
      </c>
      <c r="C33" s="123">
        <v>42.92</v>
      </c>
      <c r="D33" s="125" t="str">
        <f>B33*C33</f>
        <v>$0.00</v>
      </c>
      <c r="E33" s="1"/>
      <c r="F33" s="1"/>
      <c r="G33" s="1"/>
      <c r="H33" s="126"/>
      <c r="I33" s="17"/>
      <c r="J33" s="1"/>
      <c r="K33" s="1"/>
      <c r="L33" s="1"/>
      <c r="M33" s="1"/>
      <c r="N33" s="127">
        <v>-44087.0</v>
      </c>
      <c r="O33" s="128" t="str">
        <f>N33*C33</f>
        <v>-$1,892,214.04</v>
      </c>
      <c r="P33" s="130" t="str">
        <f>(B33-N33)*C33</f>
        <v>$1,892,214.04</v>
      </c>
      <c r="Q33" s="1"/>
      <c r="R33" s="132" t="str">
        <f>N33+SUM(S37:S53)</f>
        <v>-0.23</v>
      </c>
      <c r="S33" s="133"/>
      <c r="T33" s="133"/>
      <c r="U33" s="135" t="str">
        <f>SUM(U37:U53)</f>
        <v>-3533.09</v>
      </c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ht="13.5" customHeight="1">
      <c r="A34" s="1"/>
      <c r="B34" s="1"/>
      <c r="C34" s="1"/>
      <c r="D34" s="1"/>
      <c r="E34" s="1"/>
      <c r="F34" s="1"/>
      <c r="G34" s="1"/>
      <c r="H34" s="27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ht="12.75" customHeight="1">
      <c r="A35" s="1"/>
      <c r="B35" s="137" t="s">
        <v>57</v>
      </c>
      <c r="C35" s="107"/>
      <c r="D35" s="107"/>
      <c r="E35" s="107"/>
      <c r="F35" s="107"/>
      <c r="G35" s="138" t="s">
        <v>35</v>
      </c>
      <c r="H35" s="139" t="s">
        <v>36</v>
      </c>
      <c r="I35" s="107"/>
      <c r="J35" s="138" t="s">
        <v>37</v>
      </c>
      <c r="K35" s="107" t="s">
        <v>38</v>
      </c>
      <c r="L35" s="107"/>
      <c r="M35" s="108"/>
      <c r="N35" s="137" t="s">
        <v>57</v>
      </c>
      <c r="O35" s="107"/>
      <c r="P35" s="108"/>
      <c r="Q35" s="1"/>
      <c r="R35" s="137"/>
      <c r="S35" s="107"/>
      <c r="T35" s="107"/>
      <c r="U35" s="108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ht="13.5" customHeight="1">
      <c r="A36" s="1"/>
      <c r="B36" s="140" t="s">
        <v>28</v>
      </c>
      <c r="C36" s="133" t="s">
        <v>39</v>
      </c>
      <c r="D36" s="133" t="s">
        <v>40</v>
      </c>
      <c r="E36" s="133" t="s">
        <v>41</v>
      </c>
      <c r="F36" s="133" t="s">
        <v>42</v>
      </c>
      <c r="G36" s="141" t="s">
        <v>43</v>
      </c>
      <c r="H36" s="141" t="s">
        <v>43</v>
      </c>
      <c r="I36" s="142" t="s">
        <v>30</v>
      </c>
      <c r="J36" s="142" t="s">
        <v>44</v>
      </c>
      <c r="K36" s="133" t="s">
        <v>45</v>
      </c>
      <c r="L36" s="133" t="s">
        <v>46</v>
      </c>
      <c r="M36" s="143" t="s">
        <v>47</v>
      </c>
      <c r="N36" s="140" t="s">
        <v>28</v>
      </c>
      <c r="O36" s="142" t="s">
        <v>30</v>
      </c>
      <c r="P36" s="144" t="s">
        <v>31</v>
      </c>
      <c r="Q36" s="1"/>
      <c r="R36" s="140" t="s">
        <v>48</v>
      </c>
      <c r="S36" s="133" t="s">
        <v>49</v>
      </c>
      <c r="T36" s="133" t="s">
        <v>50</v>
      </c>
      <c r="U36" s="143" t="s">
        <v>51</v>
      </c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ht="12.75" customHeight="1">
      <c r="A37" s="1"/>
      <c r="B37" s="145">
        <v>-232000.0</v>
      </c>
      <c r="C37" s="138" t="s">
        <v>58</v>
      </c>
      <c r="D37" s="146">
        <v>42.49</v>
      </c>
      <c r="E37" s="147">
        <v>42346.0</v>
      </c>
      <c r="F37" s="148">
        <v>0.189</v>
      </c>
      <c r="G37" s="150" t="str">
        <f>J37</f>
        <v>$0.43</v>
      </c>
      <c r="H37" s="150" t="str">
        <f>J37</f>
        <v>$0.43</v>
      </c>
      <c r="I37" s="151" t="str">
        <f t="shared" ref="I37:I38" si="5">B37*AVERAGE(H37,G37)</f>
        <v>-$100,034.29</v>
      </c>
      <c r="J37" s="152" t="str">
        <f>EXP(-$C$6*K37)*NORMSDIST(-L37)</f>
        <v>$0.43</v>
      </c>
      <c r="K37" s="153" t="str">
        <f t="shared" ref="K37:K38" si="6">(E37-$C$2)/365</f>
        <v>0.1342465753</v>
      </c>
      <c r="L37" s="153" t="str">
        <f t="shared" ref="L37:L38" si="7">(LN($C$33/D37)+($C$6-F37*F37/2)*K37)/(F37*SQRT(K37))</f>
        <v>0.1689389374</v>
      </c>
      <c r="M37" s="154" t="str">
        <f t="shared" ref="M37:M38" si="8">L37+F37*SQRT(K37)</f>
        <v>0.2381879224</v>
      </c>
      <c r="N37" s="155" t="str">
        <f>B37</f>
        <v>-232,000</v>
      </c>
      <c r="O37" s="156" t="str">
        <f t="shared" ref="O37:O38" si="9">N37*AVERAGE(G37:H37)</f>
        <v>-$100,034.29</v>
      </c>
      <c r="P37" s="157" t="str">
        <f t="shared" ref="P37:P38" si="10">MIN((B37-N37)*G37,(B37-N37)*H37)</f>
        <v>$0.00</v>
      </c>
      <c r="Q37" s="1"/>
      <c r="R37" s="159" t="str">
        <f>-EXP(-$C$6*K37)*NORMSDIST(L37)/(F37*C33*SQRT(K37))</f>
        <v>-0.190 </v>
      </c>
      <c r="S37" s="161" t="str">
        <f>R37*N37</f>
        <v>44087</v>
      </c>
      <c r="T37" s="162" t="str">
        <f>EXP(-C6*K37)*M37*NORMSDIST(L37)/(F37*F37*C33*C33*K37)</f>
        <v>0.015</v>
      </c>
      <c r="U37" s="163" t="str">
        <f>T37*B37</f>
        <v>-3533.09</v>
      </c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ht="12.75" customHeight="1">
      <c r="A38" s="1"/>
      <c r="B38" s="164">
        <v>0.0</v>
      </c>
      <c r="C38" s="115" t="s">
        <v>54</v>
      </c>
      <c r="D38" s="165">
        <v>95.0</v>
      </c>
      <c r="E38" s="166">
        <v>42356.0</v>
      </c>
      <c r="F38" s="168" t="str">
        <f>F37</f>
        <v>19%</v>
      </c>
      <c r="G38" s="169">
        <v>8.5</v>
      </c>
      <c r="H38" s="169">
        <v>9.0</v>
      </c>
      <c r="I38" s="151" t="str">
        <f t="shared" si="5"/>
        <v>$0.00</v>
      </c>
      <c r="J38" s="152" t="str">
        <f>$C$33*NORMSDIST(M38)-D38*EXP(-$C$6*K38)*NORMSDIST(L38)</f>
        <v>$0.00</v>
      </c>
      <c r="K38" s="170" t="str">
        <f t="shared" si="6"/>
        <v>0.1616438356</v>
      </c>
      <c r="L38" s="170" t="str">
        <f t="shared" si="7"/>
        <v>-10.43037499</v>
      </c>
      <c r="M38" s="171" t="str">
        <f t="shared" si="8"/>
        <v>-10.35438763</v>
      </c>
      <c r="N38" s="172">
        <v>0.0</v>
      </c>
      <c r="O38" s="173" t="str">
        <f t="shared" si="9"/>
        <v>$0.00</v>
      </c>
      <c r="P38" s="174" t="str">
        <f t="shared" si="10"/>
        <v>$0.00</v>
      </c>
      <c r="Q38" s="1"/>
      <c r="R38" s="117"/>
      <c r="S38" s="118"/>
      <c r="T38" s="118"/>
      <c r="U38" s="119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ht="12.75" customHeight="1">
      <c r="A39" s="1"/>
      <c r="B39" s="164"/>
      <c r="C39" s="115"/>
      <c r="D39" s="115"/>
      <c r="E39" s="115"/>
      <c r="F39" s="178"/>
      <c r="G39" s="178"/>
      <c r="H39" s="152"/>
      <c r="I39" s="151"/>
      <c r="J39" s="151"/>
      <c r="K39" s="115"/>
      <c r="L39" s="115"/>
      <c r="M39" s="180"/>
      <c r="N39" s="172"/>
      <c r="O39" s="178"/>
      <c r="P39" s="174"/>
      <c r="Q39" s="1"/>
      <c r="R39" s="117"/>
      <c r="S39" s="118"/>
      <c r="T39" s="118"/>
      <c r="U39" s="119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ht="12.75" customHeight="1">
      <c r="A40" s="1"/>
      <c r="B40" s="164"/>
      <c r="C40" s="115"/>
      <c r="D40" s="115"/>
      <c r="E40" s="115"/>
      <c r="F40" s="178"/>
      <c r="G40" s="178"/>
      <c r="H40" s="152"/>
      <c r="I40" s="151"/>
      <c r="J40" s="151"/>
      <c r="K40" s="115"/>
      <c r="L40" s="115"/>
      <c r="M40" s="180"/>
      <c r="N40" s="172"/>
      <c r="O40" s="178"/>
      <c r="P40" s="174"/>
      <c r="Q40" s="1"/>
      <c r="R40" s="117"/>
      <c r="S40" s="118"/>
      <c r="T40" s="118"/>
      <c r="U40" s="119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ht="12.75" customHeight="1">
      <c r="A41" s="1"/>
      <c r="B41" s="164"/>
      <c r="C41" s="115"/>
      <c r="D41" s="115"/>
      <c r="E41" s="115"/>
      <c r="F41" s="178"/>
      <c r="G41" s="178"/>
      <c r="H41" s="152"/>
      <c r="I41" s="151"/>
      <c r="J41" s="151"/>
      <c r="K41" s="115"/>
      <c r="L41" s="115"/>
      <c r="M41" s="180"/>
      <c r="N41" s="172"/>
      <c r="O41" s="178"/>
      <c r="P41" s="174"/>
      <c r="Q41" s="1"/>
      <c r="R41" s="117"/>
      <c r="S41" s="118"/>
      <c r="T41" s="118"/>
      <c r="U41" s="119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ht="12.75" customHeight="1">
      <c r="A42" s="1"/>
      <c r="B42" s="164"/>
      <c r="C42" s="115"/>
      <c r="D42" s="115"/>
      <c r="E42" s="115"/>
      <c r="F42" s="178"/>
      <c r="G42" s="178"/>
      <c r="H42" s="152"/>
      <c r="I42" s="151"/>
      <c r="J42" s="151"/>
      <c r="K42" s="115"/>
      <c r="L42" s="115"/>
      <c r="M42" s="180"/>
      <c r="N42" s="172"/>
      <c r="O42" s="178"/>
      <c r="P42" s="174"/>
      <c r="Q42" s="1"/>
      <c r="R42" s="117"/>
      <c r="S42" s="118"/>
      <c r="T42" s="118"/>
      <c r="U42" s="119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ht="12.75" customHeight="1">
      <c r="A43" s="1"/>
      <c r="B43" s="164"/>
      <c r="C43" s="115"/>
      <c r="D43" s="115"/>
      <c r="E43" s="115"/>
      <c r="F43" s="178"/>
      <c r="G43" s="178"/>
      <c r="H43" s="152"/>
      <c r="I43" s="151"/>
      <c r="J43" s="151"/>
      <c r="K43" s="115"/>
      <c r="L43" s="115"/>
      <c r="M43" s="180"/>
      <c r="N43" s="172"/>
      <c r="O43" s="178"/>
      <c r="P43" s="174"/>
      <c r="Q43" s="1"/>
      <c r="R43" s="117"/>
      <c r="S43" s="118"/>
      <c r="T43" s="118"/>
      <c r="U43" s="119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ht="12.75" customHeight="1">
      <c r="A44" s="1"/>
      <c r="B44" s="164"/>
      <c r="C44" s="115"/>
      <c r="D44" s="115"/>
      <c r="E44" s="115"/>
      <c r="F44" s="178"/>
      <c r="G44" s="178"/>
      <c r="H44" s="152"/>
      <c r="I44" s="151"/>
      <c r="J44" s="151"/>
      <c r="K44" s="115"/>
      <c r="L44" s="115"/>
      <c r="M44" s="180"/>
      <c r="N44" s="172"/>
      <c r="O44" s="178"/>
      <c r="P44" s="174"/>
      <c r="Q44" s="1"/>
      <c r="R44" s="117"/>
      <c r="S44" s="118"/>
      <c r="T44" s="118"/>
      <c r="U44" s="119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ht="12.75" customHeight="1">
      <c r="A45" s="1"/>
      <c r="B45" s="164"/>
      <c r="C45" s="115"/>
      <c r="D45" s="115"/>
      <c r="E45" s="115"/>
      <c r="F45" s="178"/>
      <c r="G45" s="178"/>
      <c r="H45" s="152"/>
      <c r="I45" s="151"/>
      <c r="J45" s="151"/>
      <c r="K45" s="115"/>
      <c r="L45" s="115"/>
      <c r="M45" s="180"/>
      <c r="N45" s="172"/>
      <c r="O45" s="178"/>
      <c r="P45" s="174"/>
      <c r="Q45" s="1"/>
      <c r="R45" s="117"/>
      <c r="S45" s="118"/>
      <c r="T45" s="118"/>
      <c r="U45" s="119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ht="12.75" customHeight="1">
      <c r="A46" s="1"/>
      <c r="B46" s="164"/>
      <c r="C46" s="115"/>
      <c r="D46" s="115"/>
      <c r="E46" s="115"/>
      <c r="F46" s="178"/>
      <c r="G46" s="178"/>
      <c r="H46" s="152"/>
      <c r="I46" s="151"/>
      <c r="J46" s="151"/>
      <c r="K46" s="115"/>
      <c r="L46" s="115"/>
      <c r="M46" s="180"/>
      <c r="N46" s="172"/>
      <c r="O46" s="178"/>
      <c r="P46" s="174"/>
      <c r="Q46" s="1"/>
      <c r="R46" s="117"/>
      <c r="S46" s="118"/>
      <c r="T46" s="118"/>
      <c r="U46" s="119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ht="12.75" customHeight="1">
      <c r="A47" s="1"/>
      <c r="B47" s="164"/>
      <c r="C47" s="115"/>
      <c r="D47" s="115"/>
      <c r="E47" s="115"/>
      <c r="F47" s="178"/>
      <c r="G47" s="178"/>
      <c r="H47" s="152"/>
      <c r="I47" s="151"/>
      <c r="J47" s="151"/>
      <c r="K47" s="115"/>
      <c r="L47" s="115"/>
      <c r="M47" s="180"/>
      <c r="N47" s="172"/>
      <c r="O47" s="178"/>
      <c r="P47" s="174"/>
      <c r="Q47" s="1"/>
      <c r="R47" s="117"/>
      <c r="S47" s="118"/>
      <c r="T47" s="118"/>
      <c r="U47" s="119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ht="12.75" customHeight="1">
      <c r="A48" s="1"/>
      <c r="B48" s="164"/>
      <c r="C48" s="115"/>
      <c r="D48" s="115"/>
      <c r="E48" s="115"/>
      <c r="F48" s="178"/>
      <c r="G48" s="178"/>
      <c r="H48" s="152"/>
      <c r="I48" s="151"/>
      <c r="J48" s="151"/>
      <c r="K48" s="115"/>
      <c r="L48" s="115"/>
      <c r="M48" s="180"/>
      <c r="N48" s="172"/>
      <c r="O48" s="178"/>
      <c r="P48" s="174"/>
      <c r="Q48" s="1"/>
      <c r="R48" s="117"/>
      <c r="S48" s="118"/>
      <c r="T48" s="118"/>
      <c r="U48" s="119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ht="12.75" customHeight="1">
      <c r="A49" s="1"/>
      <c r="B49" s="164"/>
      <c r="C49" s="115"/>
      <c r="D49" s="115"/>
      <c r="E49" s="115"/>
      <c r="F49" s="178"/>
      <c r="G49" s="178"/>
      <c r="H49" s="152"/>
      <c r="I49" s="151"/>
      <c r="J49" s="151"/>
      <c r="K49" s="115"/>
      <c r="L49" s="115"/>
      <c r="M49" s="180"/>
      <c r="N49" s="172"/>
      <c r="O49" s="178"/>
      <c r="P49" s="174"/>
      <c r="Q49" s="1"/>
      <c r="R49" s="117"/>
      <c r="S49" s="118"/>
      <c r="T49" s="118"/>
      <c r="U49" s="119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ht="12.75" customHeight="1">
      <c r="A50" s="1"/>
      <c r="B50" s="164"/>
      <c r="C50" s="115"/>
      <c r="D50" s="115"/>
      <c r="E50" s="115"/>
      <c r="F50" s="178"/>
      <c r="G50" s="178"/>
      <c r="H50" s="152"/>
      <c r="I50" s="151"/>
      <c r="J50" s="151"/>
      <c r="K50" s="115"/>
      <c r="L50" s="115"/>
      <c r="M50" s="180"/>
      <c r="N50" s="172"/>
      <c r="O50" s="178"/>
      <c r="P50" s="174"/>
      <c r="Q50" s="1"/>
      <c r="R50" s="117"/>
      <c r="S50" s="118"/>
      <c r="T50" s="118"/>
      <c r="U50" s="119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ht="12.75" customHeight="1">
      <c r="A51" s="1"/>
      <c r="B51" s="164"/>
      <c r="C51" s="115"/>
      <c r="D51" s="115"/>
      <c r="E51" s="115"/>
      <c r="F51" s="178"/>
      <c r="G51" s="178"/>
      <c r="H51" s="152"/>
      <c r="I51" s="151"/>
      <c r="J51" s="151"/>
      <c r="K51" s="115"/>
      <c r="L51" s="115"/>
      <c r="M51" s="180"/>
      <c r="N51" s="172"/>
      <c r="O51" s="178"/>
      <c r="P51" s="174"/>
      <c r="Q51" s="1"/>
      <c r="R51" s="117"/>
      <c r="S51" s="118"/>
      <c r="T51" s="118"/>
      <c r="U51" s="119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ht="12.75" customHeight="1">
      <c r="A52" s="1"/>
      <c r="B52" s="164"/>
      <c r="C52" s="115"/>
      <c r="D52" s="115"/>
      <c r="E52" s="115"/>
      <c r="F52" s="178"/>
      <c r="G52" s="178"/>
      <c r="H52" s="152"/>
      <c r="I52" s="151"/>
      <c r="J52" s="151"/>
      <c r="K52" s="115"/>
      <c r="L52" s="115"/>
      <c r="M52" s="180"/>
      <c r="N52" s="172"/>
      <c r="O52" s="178"/>
      <c r="P52" s="174"/>
      <c r="Q52" s="1"/>
      <c r="R52" s="117"/>
      <c r="S52" s="118"/>
      <c r="T52" s="118"/>
      <c r="U52" s="119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ht="13.5" customHeight="1">
      <c r="A53" s="1"/>
      <c r="B53" s="122"/>
      <c r="C53" s="142"/>
      <c r="D53" s="142"/>
      <c r="E53" s="142"/>
      <c r="F53" s="183"/>
      <c r="G53" s="183"/>
      <c r="H53" s="184"/>
      <c r="I53" s="185"/>
      <c r="J53" s="185"/>
      <c r="K53" s="142"/>
      <c r="L53" s="142"/>
      <c r="M53" s="186"/>
      <c r="N53" s="127"/>
      <c r="O53" s="183"/>
      <c r="P53" s="130"/>
      <c r="Q53" s="1"/>
      <c r="R53" s="140"/>
      <c r="S53" s="133"/>
      <c r="T53" s="133"/>
      <c r="U53" s="143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8.86"/>
    <col customWidth="1" min="2" max="2" width="15.14"/>
    <col customWidth="1" min="3" max="3" width="11.86"/>
    <col customWidth="1" min="4" max="4" width="12.71"/>
    <col customWidth="1" min="5" max="5" width="14.43"/>
    <col customWidth="1" min="6" max="6" width="9.0"/>
    <col customWidth="1" min="7" max="7" width="14.0"/>
    <col customWidth="1" min="8" max="8" width="14.86"/>
    <col customWidth="1" min="9" max="9" width="20.29"/>
    <col customWidth="1" min="10" max="10" width="13.71"/>
    <col customWidth="1" min="11" max="13" width="8.29"/>
    <col customWidth="1" min="14" max="15" width="14.0"/>
    <col customWidth="1" min="16" max="16" width="13.43"/>
    <col customWidth="1" min="17" max="17" width="5.43"/>
    <col customWidth="1" min="18" max="21" width="13.0"/>
    <col customWidth="1" min="22" max="31" width="8.86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ht="12.75" customHeight="1">
      <c r="A2" s="1"/>
      <c r="B2" s="2" t="s">
        <v>0</v>
      </c>
      <c r="C2" s="4">
        <v>42304.0</v>
      </c>
      <c r="D2" s="5"/>
      <c r="E2" s="7" t="s">
        <v>10</v>
      </c>
      <c r="F2" s="1" t="s">
        <v>14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ht="12.75" customHeight="1">
      <c r="A3" s="1"/>
      <c r="B3" s="9"/>
      <c r="C3" s="11"/>
      <c r="D3" s="1"/>
      <c r="E3" s="12" t="s">
        <v>17</v>
      </c>
      <c r="F3" s="1" t="s">
        <v>18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ht="13.5" customHeight="1">
      <c r="A4" s="1"/>
      <c r="B4" s="13" t="s">
        <v>19</v>
      </c>
      <c r="C4" s="14">
        <v>42297.0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ht="12.75" customHeight="1">
      <c r="A5" s="1"/>
      <c r="B5" s="1"/>
      <c r="C5" s="15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ht="12.75" customHeight="1">
      <c r="A6" s="1"/>
      <c r="B6" s="1" t="s">
        <v>20</v>
      </c>
      <c r="C6" s="15">
        <v>0.03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ht="12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ht="12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ht="19.5" customHeight="1">
      <c r="A9" s="1"/>
      <c r="B9" s="16" t="s">
        <v>21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6" t="s">
        <v>22</v>
      </c>
      <c r="O9" s="16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ht="13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ht="18.0" customHeight="1">
      <c r="A11" s="1"/>
      <c r="B11" s="18" t="s">
        <v>23</v>
      </c>
      <c r="C11" s="19" t="s">
        <v>24</v>
      </c>
      <c r="D11" s="20" t="s">
        <v>25</v>
      </c>
      <c r="E11" s="1"/>
      <c r="F11" s="1"/>
      <c r="G11" s="1"/>
      <c r="H11" s="1"/>
      <c r="I11" s="21" t="s">
        <v>15</v>
      </c>
      <c r="J11" s="22"/>
      <c r="K11" s="1"/>
      <c r="L11" s="1"/>
      <c r="M11" s="1"/>
      <c r="N11" s="23" t="s">
        <v>26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ht="18.75" customHeight="1">
      <c r="A12" s="1"/>
      <c r="B12" s="24">
        <v>-4220432.17</v>
      </c>
      <c r="C12" s="25" t="str">
        <f>(C2-C4)/365</f>
        <v>0.01917808219</v>
      </c>
      <c r="D12" s="26" t="str">
        <f>B12*EXP($C$6*C12)</f>
        <v>-$ 4,222,861.06 </v>
      </c>
      <c r="E12" s="1"/>
      <c r="F12" s="1"/>
      <c r="G12" s="27"/>
      <c r="H12" s="1"/>
      <c r="I12" s="28" t="str">
        <f>D12+D16+SUM(I20:I29)+D33+SUM(I37:I46)</f>
        <v>-$ 5,839.14 </v>
      </c>
      <c r="J12" s="29"/>
      <c r="K12" s="1"/>
      <c r="L12" s="1"/>
      <c r="M12" s="1"/>
      <c r="N12" s="30" t="str">
        <f>D12+P16+SUM(P20:P29)+P33+SUM(P37:P53)</f>
        <v> $ 6,367,739.18 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ht="13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ht="12.75" customHeight="1">
      <c r="A14" s="1"/>
      <c r="B14" s="31" t="s">
        <v>27</v>
      </c>
      <c r="C14" s="32"/>
      <c r="D14" s="33"/>
      <c r="E14" s="1"/>
      <c r="F14" s="1"/>
      <c r="G14" s="1"/>
      <c r="H14" s="1"/>
      <c r="I14" s="1"/>
      <c r="J14" s="1"/>
      <c r="K14" s="1"/>
      <c r="L14" s="1"/>
      <c r="M14" s="1"/>
      <c r="N14" s="34" t="s">
        <v>27</v>
      </c>
      <c r="O14" s="35"/>
      <c r="P14" s="36"/>
      <c r="Q14" s="1"/>
      <c r="R14" s="31" t="s">
        <v>27</v>
      </c>
      <c r="S14" s="32"/>
      <c r="T14" s="32"/>
      <c r="U14" s="33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ht="12.75" customHeight="1">
      <c r="A15" s="1"/>
      <c r="B15" s="37" t="s">
        <v>28</v>
      </c>
      <c r="C15" s="38" t="s">
        <v>29</v>
      </c>
      <c r="D15" s="39" t="s">
        <v>30</v>
      </c>
      <c r="E15" s="1"/>
      <c r="F15" s="1"/>
      <c r="G15" s="1"/>
      <c r="H15" s="1"/>
      <c r="I15" s="1"/>
      <c r="J15" s="1"/>
      <c r="K15" s="1"/>
      <c r="L15" s="1"/>
      <c r="M15" s="1"/>
      <c r="N15" s="40" t="s">
        <v>28</v>
      </c>
      <c r="O15" s="41" t="s">
        <v>30</v>
      </c>
      <c r="P15" s="42" t="s">
        <v>31</v>
      </c>
      <c r="Q15" s="1"/>
      <c r="R15" s="43" t="s">
        <v>32</v>
      </c>
      <c r="S15" s="44"/>
      <c r="T15" s="44"/>
      <c r="U15" s="45" t="s">
        <v>33</v>
      </c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ht="13.5" customHeight="1">
      <c r="A16" s="1"/>
      <c r="B16" s="46">
        <v>7830.0</v>
      </c>
      <c r="C16" s="47">
        <v>808.2</v>
      </c>
      <c r="D16" s="48" t="str">
        <f>B16*C16</f>
        <v> $ 6,328,206.00 </v>
      </c>
      <c r="E16" s="1"/>
      <c r="F16" s="1"/>
      <c r="G16" s="1"/>
      <c r="H16" s="1"/>
      <c r="I16" s="17"/>
      <c r="J16" s="1"/>
      <c r="K16" s="1"/>
      <c r="L16" s="1"/>
      <c r="M16" s="1"/>
      <c r="N16" s="49">
        <v>-8334.0</v>
      </c>
      <c r="O16" s="50" t="str">
        <f>N16*C16</f>
        <v>-$6,735,538.80</v>
      </c>
      <c r="P16" s="51" t="str">
        <f>(B16-N16)*C16</f>
        <v>$13,063,744.80</v>
      </c>
      <c r="Q16" s="1"/>
      <c r="R16" s="52" t="str">
        <f>N16+SUM(S20:S29)</f>
        <v>0.44</v>
      </c>
      <c r="S16" s="53"/>
      <c r="T16" s="53"/>
      <c r="U16" s="54" t="str">
        <f>SUM(U20:U29)</f>
        <v>0.00</v>
      </c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ht="13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55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ht="12.75" customHeight="1">
      <c r="A18" s="1"/>
      <c r="B18" s="56" t="s">
        <v>34</v>
      </c>
      <c r="C18" s="57"/>
      <c r="D18" s="57"/>
      <c r="E18" s="57"/>
      <c r="F18" s="57"/>
      <c r="G18" s="57" t="s">
        <v>35</v>
      </c>
      <c r="H18" s="57" t="s">
        <v>36</v>
      </c>
      <c r="I18" s="58"/>
      <c r="J18" s="57" t="s">
        <v>37</v>
      </c>
      <c r="K18" s="57" t="s">
        <v>38</v>
      </c>
      <c r="L18" s="57"/>
      <c r="M18" s="59"/>
      <c r="N18" s="34" t="s">
        <v>34</v>
      </c>
      <c r="O18" s="35"/>
      <c r="P18" s="36"/>
      <c r="Q18" s="1"/>
      <c r="R18" s="60"/>
      <c r="S18" s="32"/>
      <c r="T18" s="32"/>
      <c r="U18" s="33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ht="13.5" customHeight="1">
      <c r="A19" s="1"/>
      <c r="B19" s="61" t="s">
        <v>28</v>
      </c>
      <c r="C19" s="62" t="s">
        <v>39</v>
      </c>
      <c r="D19" s="62" t="s">
        <v>40</v>
      </c>
      <c r="E19" s="62" t="s">
        <v>41</v>
      </c>
      <c r="F19" s="62" t="s">
        <v>42</v>
      </c>
      <c r="G19" s="63" t="s">
        <v>43</v>
      </c>
      <c r="H19" s="63" t="s">
        <v>43</v>
      </c>
      <c r="I19" s="62" t="s">
        <v>30</v>
      </c>
      <c r="J19" s="62" t="s">
        <v>44</v>
      </c>
      <c r="K19" s="62" t="s">
        <v>45</v>
      </c>
      <c r="L19" s="62" t="s">
        <v>46</v>
      </c>
      <c r="M19" s="64" t="s">
        <v>47</v>
      </c>
      <c r="N19" s="61" t="s">
        <v>28</v>
      </c>
      <c r="O19" s="62" t="s">
        <v>30</v>
      </c>
      <c r="P19" s="65" t="s">
        <v>31</v>
      </c>
      <c r="Q19" s="1"/>
      <c r="R19" s="66" t="s">
        <v>48</v>
      </c>
      <c r="S19" s="53" t="s">
        <v>49</v>
      </c>
      <c r="T19" s="53" t="s">
        <v>50</v>
      </c>
      <c r="U19" s="67" t="s">
        <v>51</v>
      </c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ht="12.75" customHeight="1">
      <c r="A20" s="1"/>
      <c r="B20" s="68">
        <v>-15000.0</v>
      </c>
      <c r="C20" s="57" t="s">
        <v>52</v>
      </c>
      <c r="D20" s="69">
        <v>814.0</v>
      </c>
      <c r="E20" s="70">
        <v>42346.0</v>
      </c>
      <c r="F20" s="71">
        <v>0.15</v>
      </c>
      <c r="G20" s="72">
        <v>7.0533</v>
      </c>
      <c r="H20" s="72">
        <v>7.0533</v>
      </c>
      <c r="I20" s="73" t="str">
        <f t="shared" ref="I20:I21" si="1">B20*AVERAGE(H20,G20)</f>
        <v>-$105,799.50</v>
      </c>
      <c r="J20" s="73"/>
      <c r="K20" s="74" t="str">
        <f t="shared" ref="K20:K22" si="2">(E20-$C$2)/365</f>
        <v>0.1150684932</v>
      </c>
      <c r="L20" s="57"/>
      <c r="M20" s="57"/>
      <c r="N20" s="75" t="str">
        <f>B20</f>
        <v>-15,000</v>
      </c>
      <c r="O20" s="76" t="str">
        <f t="shared" ref="O20:O22" si="3">N20*AVERAGE(G20,H20)</f>
        <v>-$105,800</v>
      </c>
      <c r="P20" s="77" t="str">
        <f t="shared" ref="P20:P22" si="4">MIN((B20-N20)*G20,(B20-N20)*H20)</f>
        <v>$0.00</v>
      </c>
      <c r="Q20" s="1"/>
      <c r="R20" s="79">
        <v>0.356</v>
      </c>
      <c r="S20" s="81" t="str">
        <f>R20*N20</f>
        <v>-5340.00</v>
      </c>
      <c r="T20" s="82">
        <v>0.0144</v>
      </c>
      <c r="U20" s="84" t="str">
        <f>T20*N20</f>
        <v>-216.00</v>
      </c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ht="12.75" customHeight="1">
      <c r="A21" s="1"/>
      <c r="B21" s="85">
        <v>0.0</v>
      </c>
      <c r="C21" s="41" t="s">
        <v>53</v>
      </c>
      <c r="D21" s="86">
        <v>840.0</v>
      </c>
      <c r="E21" s="87">
        <v>42356.0</v>
      </c>
      <c r="F21" s="88">
        <v>0.075</v>
      </c>
      <c r="G21" s="89">
        <v>9.1</v>
      </c>
      <c r="H21" s="89">
        <v>10.5</v>
      </c>
      <c r="I21" s="90" t="str">
        <f t="shared" si="1"/>
        <v>$0.00</v>
      </c>
      <c r="J21" s="91" t="str">
        <f>-$C$16*NORMSDIST(-M21)+D21*EXP(-$C$6*K21)*NORMSDIST(-L21)</f>
        <v>$29.49</v>
      </c>
      <c r="K21" s="92" t="str">
        <f t="shared" si="2"/>
        <v>0.1424657534</v>
      </c>
      <c r="L21" s="92" t="str">
        <f t="shared" ref="L21:L22" si="5">(LN($C$16/D21)+($C$6-F21*F21/2)*K21)/(F21*SQRT(K21))</f>
        <v>-1.226454241</v>
      </c>
      <c r="M21" s="92" t="str">
        <f t="shared" ref="M21:M22" si="6">L21+F21*SQRT(K21)</f>
        <v>-1.198145764</v>
      </c>
      <c r="N21" s="93">
        <v>0.0</v>
      </c>
      <c r="O21" s="94" t="str">
        <f t="shared" si="3"/>
        <v>$0.00</v>
      </c>
      <c r="P21" s="95" t="str">
        <f t="shared" si="4"/>
        <v>$0.00</v>
      </c>
      <c r="Q21" s="1"/>
      <c r="R21" s="96"/>
      <c r="S21" s="97"/>
      <c r="T21" s="97"/>
      <c r="U21" s="98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ht="12.75" customHeight="1">
      <c r="A22" s="1"/>
      <c r="B22" s="85">
        <v>0.0</v>
      </c>
      <c r="C22" s="41" t="s">
        <v>54</v>
      </c>
      <c r="D22" s="41">
        <v>810.0</v>
      </c>
      <c r="E22" s="87">
        <v>42356.0</v>
      </c>
      <c r="F22" s="100">
        <v>0.1572</v>
      </c>
      <c r="G22" s="103">
        <v>21.8</v>
      </c>
      <c r="H22" s="89">
        <v>25.55</v>
      </c>
      <c r="I22" s="105" t="str">
        <f>B22*AVERAGE(G22,H22)</f>
        <v>$0.00</v>
      </c>
      <c r="J22" s="91" t="str">
        <f>$C$16*NORMSDIST(M22)-D22*EXP(-$C$6*K22)*NORMSDIST(L22)</f>
        <v>$19.95</v>
      </c>
      <c r="K22" s="92" t="str">
        <f t="shared" si="2"/>
        <v>0.1424657534</v>
      </c>
      <c r="L22" s="92" t="str">
        <f t="shared" si="5"/>
        <v>0.004870384004</v>
      </c>
      <c r="M22" s="92" t="str">
        <f t="shared" si="6"/>
        <v>0.06420495153</v>
      </c>
      <c r="N22" s="93">
        <v>26017.0</v>
      </c>
      <c r="O22" s="94" t="str">
        <f t="shared" si="3"/>
        <v>$615,952.48</v>
      </c>
      <c r="P22" s="95" t="str">
        <f t="shared" si="4"/>
        <v>-$664,734.35</v>
      </c>
      <c r="Q22" s="1"/>
      <c r="R22" s="96" t="str">
        <f>NORMSDIST(M22)</f>
        <v>0.53</v>
      </c>
      <c r="S22" s="97" t="str">
        <f>R22*N22</f>
        <v>13674.44</v>
      </c>
      <c r="T22" s="97" t="str">
        <f>NORMDIST(M22,0,1,FALSE)/(F22*C16*SQRT(K22))</f>
        <v>0.01</v>
      </c>
      <c r="U22" s="98" t="str">
        <f>T22*N22</f>
        <v>216.00</v>
      </c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ht="12.75" customHeight="1">
      <c r="A23" s="1"/>
      <c r="B23" s="85"/>
      <c r="C23" s="41"/>
      <c r="D23" s="41"/>
      <c r="E23" s="41"/>
      <c r="F23" s="100"/>
      <c r="G23" s="120"/>
      <c r="H23" s="121"/>
      <c r="I23" s="105"/>
      <c r="J23" s="105"/>
      <c r="K23" s="41"/>
      <c r="L23" s="41"/>
      <c r="M23" s="41"/>
      <c r="N23" s="93"/>
      <c r="O23" s="99"/>
      <c r="P23" s="95"/>
      <c r="Q23" s="1"/>
      <c r="R23" s="96"/>
      <c r="S23" s="97"/>
      <c r="T23" s="97"/>
      <c r="U23" s="98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ht="12.75" customHeight="1">
      <c r="A24" s="1"/>
      <c r="B24" s="85"/>
      <c r="C24" s="41"/>
      <c r="D24" s="41"/>
      <c r="E24" s="41"/>
      <c r="F24" s="100"/>
      <c r="G24" s="120"/>
      <c r="H24" s="121"/>
      <c r="I24" s="105"/>
      <c r="J24" s="105"/>
      <c r="K24" s="41"/>
      <c r="L24" s="41"/>
      <c r="M24" s="41"/>
      <c r="N24" s="93"/>
      <c r="O24" s="99"/>
      <c r="P24" s="95"/>
      <c r="Q24" s="1"/>
      <c r="R24" s="96"/>
      <c r="S24" s="97"/>
      <c r="T24" s="97"/>
      <c r="U24" s="98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ht="12.75" customHeight="1">
      <c r="A25" s="1"/>
      <c r="B25" s="85"/>
      <c r="C25" s="41"/>
      <c r="D25" s="41"/>
      <c r="E25" s="41"/>
      <c r="F25" s="100"/>
      <c r="G25" s="120"/>
      <c r="H25" s="121"/>
      <c r="I25" s="105"/>
      <c r="J25" s="105"/>
      <c r="K25" s="41"/>
      <c r="L25" s="41"/>
      <c r="M25" s="41"/>
      <c r="N25" s="93"/>
      <c r="O25" s="99"/>
      <c r="P25" s="95"/>
      <c r="Q25" s="1"/>
      <c r="R25" s="96"/>
      <c r="S25" s="97"/>
      <c r="T25" s="97"/>
      <c r="U25" s="98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ht="12.75" customHeight="1">
      <c r="A26" s="1"/>
      <c r="B26" s="85"/>
      <c r="C26" s="41"/>
      <c r="D26" s="41"/>
      <c r="E26" s="41"/>
      <c r="F26" s="100"/>
      <c r="G26" s="120"/>
      <c r="H26" s="121"/>
      <c r="I26" s="105"/>
      <c r="J26" s="105"/>
      <c r="K26" s="41"/>
      <c r="L26" s="41"/>
      <c r="M26" s="41"/>
      <c r="N26" s="93"/>
      <c r="O26" s="99"/>
      <c r="P26" s="95"/>
      <c r="Q26" s="1"/>
      <c r="R26" s="96"/>
      <c r="S26" s="97"/>
      <c r="T26" s="97"/>
      <c r="U26" s="98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ht="12.75" customHeight="1">
      <c r="A27" s="1"/>
      <c r="B27" s="85"/>
      <c r="C27" s="41"/>
      <c r="D27" s="41"/>
      <c r="E27" s="41"/>
      <c r="F27" s="100"/>
      <c r="G27" s="120"/>
      <c r="H27" s="121"/>
      <c r="I27" s="105"/>
      <c r="J27" s="105"/>
      <c r="K27" s="41"/>
      <c r="L27" s="41"/>
      <c r="M27" s="41"/>
      <c r="N27" s="93"/>
      <c r="O27" s="99"/>
      <c r="P27" s="95"/>
      <c r="Q27" s="1"/>
      <c r="R27" s="96"/>
      <c r="S27" s="97"/>
      <c r="T27" s="97"/>
      <c r="U27" s="98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ht="12.75" customHeight="1">
      <c r="A28" s="1"/>
      <c r="B28" s="85"/>
      <c r="C28" s="41"/>
      <c r="D28" s="41"/>
      <c r="E28" s="41"/>
      <c r="F28" s="100"/>
      <c r="G28" s="120"/>
      <c r="H28" s="121"/>
      <c r="I28" s="105"/>
      <c r="J28" s="105"/>
      <c r="K28" s="41"/>
      <c r="L28" s="41"/>
      <c r="M28" s="41"/>
      <c r="N28" s="93"/>
      <c r="O28" s="99"/>
      <c r="P28" s="95"/>
      <c r="Q28" s="1"/>
      <c r="R28" s="96"/>
      <c r="S28" s="97"/>
      <c r="T28" s="97"/>
      <c r="U28" s="98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ht="13.5" customHeight="1">
      <c r="A29" s="1"/>
      <c r="B29" s="46"/>
      <c r="C29" s="62"/>
      <c r="D29" s="62"/>
      <c r="E29" s="62"/>
      <c r="F29" s="124"/>
      <c r="G29" s="129"/>
      <c r="H29" s="131"/>
      <c r="I29" s="134"/>
      <c r="J29" s="134"/>
      <c r="K29" s="62"/>
      <c r="L29" s="62"/>
      <c r="M29" s="62"/>
      <c r="N29" s="49"/>
      <c r="O29" s="101"/>
      <c r="P29" s="51"/>
      <c r="Q29" s="1"/>
      <c r="R29" s="52"/>
      <c r="S29" s="136"/>
      <c r="T29" s="136"/>
      <c r="U29" s="54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ht="13.5" customHeight="1">
      <c r="A30" s="1"/>
      <c r="B30" s="1"/>
      <c r="C30" s="1"/>
      <c r="D30" s="1"/>
      <c r="E30" s="1"/>
      <c r="F30" s="1"/>
      <c r="G30" s="1"/>
      <c r="H30" s="27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ht="12.75" customHeight="1">
      <c r="A31" s="1"/>
      <c r="B31" s="106" t="s">
        <v>55</v>
      </c>
      <c r="C31" s="107"/>
      <c r="D31" s="108"/>
      <c r="E31" s="1"/>
      <c r="F31" s="1"/>
      <c r="G31" s="1"/>
      <c r="H31" s="27"/>
      <c r="I31" s="1"/>
      <c r="J31" s="1"/>
      <c r="K31" s="1"/>
      <c r="L31" s="1"/>
      <c r="M31" s="1"/>
      <c r="N31" s="109" t="s">
        <v>55</v>
      </c>
      <c r="O31" s="110"/>
      <c r="P31" s="108"/>
      <c r="Q31" s="1"/>
      <c r="R31" s="106" t="s">
        <v>55</v>
      </c>
      <c r="S31" s="107"/>
      <c r="T31" s="107"/>
      <c r="U31" s="108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ht="12.75" customHeight="1">
      <c r="A32" s="1"/>
      <c r="B32" s="111" t="s">
        <v>28</v>
      </c>
      <c r="C32" s="112" t="s">
        <v>29</v>
      </c>
      <c r="D32" s="113" t="s">
        <v>30</v>
      </c>
      <c r="E32" s="1"/>
      <c r="F32" s="17"/>
      <c r="G32" s="17"/>
      <c r="H32" s="27"/>
      <c r="I32" s="1"/>
      <c r="J32" s="1"/>
      <c r="K32" s="1"/>
      <c r="L32" s="1"/>
      <c r="M32" s="1"/>
      <c r="N32" s="114" t="s">
        <v>28</v>
      </c>
      <c r="O32" s="115" t="s">
        <v>30</v>
      </c>
      <c r="P32" s="116" t="s">
        <v>31</v>
      </c>
      <c r="Q32" s="1"/>
      <c r="R32" s="117" t="s">
        <v>56</v>
      </c>
      <c r="S32" s="118"/>
      <c r="T32" s="118"/>
      <c r="U32" s="119" t="s">
        <v>33</v>
      </c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ht="13.5" customHeight="1">
      <c r="A33" s="1"/>
      <c r="B33" s="122">
        <v>-44087.0</v>
      </c>
      <c r="C33" s="123">
        <v>44.09</v>
      </c>
      <c r="D33" s="125" t="str">
        <f>B33*C33</f>
        <v>-$1,943,795.83</v>
      </c>
      <c r="E33" s="1"/>
      <c r="F33" s="1"/>
      <c r="G33" s="1"/>
      <c r="H33" s="126"/>
      <c r="I33" s="17"/>
      <c r="J33" s="1"/>
      <c r="K33" s="1"/>
      <c r="L33" s="1"/>
      <c r="M33" s="1"/>
      <c r="N33" s="127">
        <v>-4534.0</v>
      </c>
      <c r="O33" s="128" t="str">
        <f>N33*C33</f>
        <v>-$199,904.06</v>
      </c>
      <c r="P33" s="130" t="str">
        <f>(B33-N33)*C33</f>
        <v>-$1,743,891.77</v>
      </c>
      <c r="Q33" s="1"/>
      <c r="R33" s="132" t="str">
        <f>N33+SUM(S37:S53)</f>
        <v>0.33</v>
      </c>
      <c r="S33" s="133"/>
      <c r="T33" s="133"/>
      <c r="U33" s="135" t="str">
        <f>SUM(U37:U53)</f>
        <v>-0.01</v>
      </c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ht="13.5" customHeight="1">
      <c r="A34" s="1"/>
      <c r="B34" s="1"/>
      <c r="C34" s="1"/>
      <c r="D34" s="1"/>
      <c r="E34" s="1"/>
      <c r="F34" s="1"/>
      <c r="G34" s="1"/>
      <c r="H34" s="27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ht="12.75" customHeight="1">
      <c r="A35" s="1"/>
      <c r="B35" s="137" t="s">
        <v>57</v>
      </c>
      <c r="C35" s="107"/>
      <c r="D35" s="107"/>
      <c r="E35" s="107"/>
      <c r="F35" s="107"/>
      <c r="G35" s="138" t="s">
        <v>35</v>
      </c>
      <c r="H35" s="139" t="s">
        <v>36</v>
      </c>
      <c r="I35" s="107"/>
      <c r="J35" s="138" t="s">
        <v>37</v>
      </c>
      <c r="K35" s="107" t="s">
        <v>38</v>
      </c>
      <c r="L35" s="107"/>
      <c r="M35" s="108"/>
      <c r="N35" s="137" t="s">
        <v>57</v>
      </c>
      <c r="O35" s="107"/>
      <c r="P35" s="108"/>
      <c r="Q35" s="1"/>
      <c r="R35" s="137"/>
      <c r="S35" s="107"/>
      <c r="T35" s="107"/>
      <c r="U35" s="108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ht="13.5" customHeight="1">
      <c r="A36" s="1"/>
      <c r="B36" s="140" t="s">
        <v>28</v>
      </c>
      <c r="C36" s="133" t="s">
        <v>39</v>
      </c>
      <c r="D36" s="133" t="s">
        <v>40</v>
      </c>
      <c r="E36" s="133" t="s">
        <v>41</v>
      </c>
      <c r="F36" s="133" t="s">
        <v>42</v>
      </c>
      <c r="G36" s="141" t="s">
        <v>43</v>
      </c>
      <c r="H36" s="141" t="s">
        <v>43</v>
      </c>
      <c r="I36" s="142" t="s">
        <v>30</v>
      </c>
      <c r="J36" s="142" t="s">
        <v>44</v>
      </c>
      <c r="K36" s="133" t="s">
        <v>45</v>
      </c>
      <c r="L36" s="133" t="s">
        <v>46</v>
      </c>
      <c r="M36" s="143" t="s">
        <v>47</v>
      </c>
      <c r="N36" s="140" t="s">
        <v>28</v>
      </c>
      <c r="O36" s="142" t="s">
        <v>30</v>
      </c>
      <c r="P36" s="144" t="s">
        <v>31</v>
      </c>
      <c r="Q36" s="1"/>
      <c r="R36" s="140" t="s">
        <v>48</v>
      </c>
      <c r="S36" s="133" t="s">
        <v>49</v>
      </c>
      <c r="T36" s="133" t="s">
        <v>50</v>
      </c>
      <c r="U36" s="143" t="s">
        <v>51</v>
      </c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ht="12.75" customHeight="1">
      <c r="A37" s="1"/>
      <c r="B37" s="145">
        <v>-232000.0</v>
      </c>
      <c r="C37" s="138" t="s">
        <v>58</v>
      </c>
      <c r="D37" s="146">
        <v>42.49</v>
      </c>
      <c r="E37" s="147">
        <v>42346.0</v>
      </c>
      <c r="F37" s="149">
        <v>0.182</v>
      </c>
      <c r="G37" s="150" t="str">
        <f>J37</f>
        <v>$0.27</v>
      </c>
      <c r="H37" s="150" t="str">
        <f>J37</f>
        <v>$0.27</v>
      </c>
      <c r="I37" s="151" t="str">
        <f t="shared" ref="I37:I39" si="7">B37*AVERAGE(H37,G37)</f>
        <v>-$61,588.75</v>
      </c>
      <c r="J37" s="152" t="str">
        <f>EXP(-$C$6*K37)*NORMSDIST(-L37)</f>
        <v>$0.27</v>
      </c>
      <c r="K37" s="153" t="str">
        <f t="shared" ref="K37:K39" si="8">(E37-$C$2)/365</f>
        <v>0.1150684932</v>
      </c>
      <c r="L37" s="153" t="str">
        <f t="shared" ref="L37:L39" si="9">(LN($C$33/D37)+($C$6-F37*F37/2)*K37)/(F37*SQRT(K37))</f>
        <v>0.6237778633</v>
      </c>
      <c r="M37" s="154" t="str">
        <f t="shared" ref="M37:M39" si="10">L37+F37*SQRT(K37)</f>
        <v>0.6855154432</v>
      </c>
      <c r="N37" s="155" t="str">
        <f>B37</f>
        <v>-232,000</v>
      </c>
      <c r="O37" s="156" t="str">
        <f t="shared" ref="O37:O38" si="11">N37*AVERAGE(G37:H37)</f>
        <v>-$61,588.75</v>
      </c>
      <c r="P37" s="157" t="str">
        <f t="shared" ref="P37:P39" si="12">MIN((B37-N37)*G37,(B37-N37)*H37)</f>
        <v>$0.00</v>
      </c>
      <c r="Q37" s="1"/>
      <c r="R37" s="158" t="str">
        <f>-EXP(-$C$6*K37)*NORMDIST(L37,0,1,FALSE)/(F37*C33*SQRT(K37))</f>
        <v>-0.12</v>
      </c>
      <c r="S37" s="160" t="str">
        <f>R37*N37</f>
        <v>27894.42</v>
      </c>
      <c r="T37" s="160" t="str">
        <f>EXP(-C6*K37)*M37*NORMDIST(L37,0,1,FALSE)/(F37*F37*C33*C33*K37)</f>
        <v>0.03</v>
      </c>
      <c r="U37" s="163" t="str">
        <f>T37*B37</f>
        <v>-7024.98</v>
      </c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ht="12.75" customHeight="1">
      <c r="A38" s="1"/>
      <c r="B38" s="164">
        <v>0.0</v>
      </c>
      <c r="C38" s="115" t="s">
        <v>54</v>
      </c>
      <c r="D38" s="165">
        <v>95.0</v>
      </c>
      <c r="E38" s="166">
        <v>42356.0</v>
      </c>
      <c r="F38" s="167" t="str">
        <f>F37</f>
        <v>18.2%</v>
      </c>
      <c r="G38" s="169">
        <v>8.5</v>
      </c>
      <c r="H38" s="169">
        <v>9.0</v>
      </c>
      <c r="I38" s="151" t="str">
        <f t="shared" si="7"/>
        <v>$0.00</v>
      </c>
      <c r="J38" s="152" t="str">
        <f>$C$33*NORMSDIST(M38)-D38*EXP(-$C$6*K38)*NORMSDIST(L38)</f>
        <v>$0.00</v>
      </c>
      <c r="K38" s="170" t="str">
        <f t="shared" si="8"/>
        <v>0.1424657534</v>
      </c>
      <c r="L38" s="170" t="str">
        <f t="shared" si="9"/>
        <v>-11.14676167</v>
      </c>
      <c r="M38" s="171" t="str">
        <f t="shared" si="10"/>
        <v>-11.07806644</v>
      </c>
      <c r="N38" s="172">
        <v>0.0</v>
      </c>
      <c r="O38" s="173" t="str">
        <f t="shared" si="11"/>
        <v>$0.00</v>
      </c>
      <c r="P38" s="174" t="str">
        <f t="shared" si="12"/>
        <v>$0.00</v>
      </c>
      <c r="Q38" s="1"/>
      <c r="R38" s="175"/>
      <c r="S38" s="176"/>
      <c r="T38" s="176"/>
      <c r="U38" s="177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ht="12.75" customHeight="1">
      <c r="A39" s="1"/>
      <c r="B39" s="164">
        <v>0.0</v>
      </c>
      <c r="C39" s="115" t="s">
        <v>53</v>
      </c>
      <c r="D39" s="179">
        <v>44.0</v>
      </c>
      <c r="E39" s="166">
        <v>42356.0</v>
      </c>
      <c r="F39" s="181">
        <v>0.1761</v>
      </c>
      <c r="G39" s="182">
        <v>1.03</v>
      </c>
      <c r="H39" s="182">
        <v>1.24</v>
      </c>
      <c r="I39" s="151" t="str">
        <f t="shared" si="7"/>
        <v>$0.00</v>
      </c>
      <c r="J39" s="152" t="str">
        <f>-$C$33*NORMSDIST(-M39)+D39*EXP(-$C$6*K39)*NORMSDIST(-L39)</f>
        <v>$1.03</v>
      </c>
      <c r="K39" s="170" t="str">
        <f t="shared" si="8"/>
        <v>0.1424657534</v>
      </c>
      <c r="L39" s="170" t="str">
        <f t="shared" si="9"/>
        <v>0.06180871373</v>
      </c>
      <c r="M39" s="171" t="str">
        <f t="shared" si="10"/>
        <v>0.1282770174</v>
      </c>
      <c r="N39" s="172">
        <v>52031.0</v>
      </c>
      <c r="O39" s="173" t="str">
        <f>N39*AVERAGE(G39,H39)</f>
        <v>$59,055.19</v>
      </c>
      <c r="P39" s="174" t="str">
        <f t="shared" si="12"/>
        <v>-$64,518.44</v>
      </c>
      <c r="Q39" s="1"/>
      <c r="R39" s="175" t="str">
        <f>NORMSDIST(M39)-1</f>
        <v>-0.45</v>
      </c>
      <c r="S39" s="176" t="str">
        <f>R39*N39</f>
        <v>-23360.09</v>
      </c>
      <c r="T39" s="176" t="str">
        <f>NORMDIST(M39,0,1,FALSE)/(F39*C33*SQRT(K39))</f>
        <v>0.14</v>
      </c>
      <c r="U39" s="177" t="str">
        <f>T39*N39</f>
        <v>7024.97</v>
      </c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ht="12.75" customHeight="1">
      <c r="A40" s="1"/>
      <c r="B40" s="164"/>
      <c r="C40" s="115"/>
      <c r="D40" s="115"/>
      <c r="E40" s="115"/>
      <c r="F40" s="178"/>
      <c r="G40" s="178"/>
      <c r="H40" s="152"/>
      <c r="I40" s="151"/>
      <c r="J40" s="151"/>
      <c r="K40" s="115"/>
      <c r="L40" s="115"/>
      <c r="M40" s="180"/>
      <c r="N40" s="172"/>
      <c r="O40" s="178"/>
      <c r="P40" s="174"/>
      <c r="Q40" s="1"/>
      <c r="R40" s="175"/>
      <c r="S40" s="176"/>
      <c r="T40" s="176"/>
      <c r="U40" s="177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ht="12.75" customHeight="1">
      <c r="A41" s="1"/>
      <c r="B41" s="164"/>
      <c r="C41" s="115"/>
      <c r="D41" s="115"/>
      <c r="E41" s="115"/>
      <c r="F41" s="178"/>
      <c r="G41" s="178"/>
      <c r="H41" s="152"/>
      <c r="I41" s="151"/>
      <c r="J41" s="151"/>
      <c r="K41" s="115"/>
      <c r="L41" s="115"/>
      <c r="M41" s="180"/>
      <c r="N41" s="172"/>
      <c r="O41" s="178"/>
      <c r="P41" s="174"/>
      <c r="Q41" s="1"/>
      <c r="R41" s="175"/>
      <c r="S41" s="176"/>
      <c r="T41" s="176"/>
      <c r="U41" s="177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ht="12.75" customHeight="1">
      <c r="A42" s="1"/>
      <c r="B42" s="164"/>
      <c r="C42" s="115"/>
      <c r="D42" s="115"/>
      <c r="E42" s="115"/>
      <c r="F42" s="178"/>
      <c r="G42" s="178"/>
      <c r="H42" s="152"/>
      <c r="I42" s="151"/>
      <c r="J42" s="151"/>
      <c r="K42" s="115"/>
      <c r="L42" s="115"/>
      <c r="M42" s="180"/>
      <c r="N42" s="172"/>
      <c r="O42" s="178"/>
      <c r="P42" s="174"/>
      <c r="Q42" s="1"/>
      <c r="R42" s="175"/>
      <c r="S42" s="176"/>
      <c r="T42" s="176"/>
      <c r="U42" s="177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ht="12.75" customHeight="1">
      <c r="A43" s="1"/>
      <c r="B43" s="164"/>
      <c r="C43" s="115"/>
      <c r="D43" s="115"/>
      <c r="E43" s="115"/>
      <c r="F43" s="178"/>
      <c r="G43" s="178"/>
      <c r="H43" s="152"/>
      <c r="I43" s="151"/>
      <c r="J43" s="151"/>
      <c r="K43" s="115"/>
      <c r="L43" s="115"/>
      <c r="M43" s="180"/>
      <c r="N43" s="172"/>
      <c r="O43" s="178"/>
      <c r="P43" s="174"/>
      <c r="Q43" s="1"/>
      <c r="R43" s="175"/>
      <c r="S43" s="176"/>
      <c r="T43" s="176"/>
      <c r="U43" s="177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ht="12.75" customHeight="1">
      <c r="A44" s="1"/>
      <c r="B44" s="164"/>
      <c r="C44" s="115"/>
      <c r="D44" s="115"/>
      <c r="E44" s="115"/>
      <c r="F44" s="178"/>
      <c r="G44" s="178"/>
      <c r="H44" s="152"/>
      <c r="I44" s="151"/>
      <c r="J44" s="151"/>
      <c r="K44" s="115"/>
      <c r="L44" s="115"/>
      <c r="M44" s="180"/>
      <c r="N44" s="172"/>
      <c r="O44" s="178"/>
      <c r="P44" s="174"/>
      <c r="Q44" s="1"/>
      <c r="R44" s="175"/>
      <c r="S44" s="176"/>
      <c r="T44" s="176"/>
      <c r="U44" s="177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ht="12.75" customHeight="1">
      <c r="A45" s="1"/>
      <c r="B45" s="164"/>
      <c r="C45" s="115"/>
      <c r="D45" s="115"/>
      <c r="E45" s="115"/>
      <c r="F45" s="178"/>
      <c r="G45" s="178"/>
      <c r="H45" s="152"/>
      <c r="I45" s="151"/>
      <c r="J45" s="151"/>
      <c r="K45" s="115"/>
      <c r="L45" s="115"/>
      <c r="M45" s="180"/>
      <c r="N45" s="172"/>
      <c r="O45" s="178"/>
      <c r="P45" s="174"/>
      <c r="Q45" s="1"/>
      <c r="R45" s="175"/>
      <c r="S45" s="176"/>
      <c r="T45" s="176"/>
      <c r="U45" s="177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ht="12.75" customHeight="1">
      <c r="A46" s="1"/>
      <c r="B46" s="164"/>
      <c r="C46" s="115"/>
      <c r="D46" s="115"/>
      <c r="E46" s="115"/>
      <c r="F46" s="178"/>
      <c r="G46" s="178"/>
      <c r="H46" s="152"/>
      <c r="I46" s="151"/>
      <c r="J46" s="151"/>
      <c r="K46" s="115"/>
      <c r="L46" s="115"/>
      <c r="M46" s="180"/>
      <c r="N46" s="172"/>
      <c r="O46" s="178"/>
      <c r="P46" s="174"/>
      <c r="Q46" s="1"/>
      <c r="R46" s="175"/>
      <c r="S46" s="176"/>
      <c r="T46" s="176"/>
      <c r="U46" s="177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ht="12.75" customHeight="1">
      <c r="A47" s="1"/>
      <c r="B47" s="164"/>
      <c r="C47" s="115"/>
      <c r="D47" s="115"/>
      <c r="E47" s="115"/>
      <c r="F47" s="178"/>
      <c r="G47" s="178"/>
      <c r="H47" s="152"/>
      <c r="I47" s="151"/>
      <c r="J47" s="151"/>
      <c r="K47" s="115"/>
      <c r="L47" s="115"/>
      <c r="M47" s="180"/>
      <c r="N47" s="172"/>
      <c r="O47" s="178"/>
      <c r="P47" s="174"/>
      <c r="Q47" s="1"/>
      <c r="R47" s="175"/>
      <c r="S47" s="176"/>
      <c r="T47" s="176"/>
      <c r="U47" s="177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ht="12.75" customHeight="1">
      <c r="A48" s="1"/>
      <c r="B48" s="164"/>
      <c r="C48" s="115"/>
      <c r="D48" s="115"/>
      <c r="E48" s="115"/>
      <c r="F48" s="178"/>
      <c r="G48" s="178"/>
      <c r="H48" s="152"/>
      <c r="I48" s="151"/>
      <c r="J48" s="151"/>
      <c r="K48" s="115"/>
      <c r="L48" s="115"/>
      <c r="M48" s="180"/>
      <c r="N48" s="172"/>
      <c r="O48" s="178"/>
      <c r="P48" s="174"/>
      <c r="Q48" s="1"/>
      <c r="R48" s="175"/>
      <c r="S48" s="176"/>
      <c r="T48" s="176"/>
      <c r="U48" s="177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ht="12.75" customHeight="1">
      <c r="A49" s="1"/>
      <c r="B49" s="164"/>
      <c r="C49" s="115"/>
      <c r="D49" s="115"/>
      <c r="E49" s="115"/>
      <c r="F49" s="178"/>
      <c r="G49" s="178"/>
      <c r="H49" s="152"/>
      <c r="I49" s="151"/>
      <c r="J49" s="151"/>
      <c r="K49" s="115"/>
      <c r="L49" s="115"/>
      <c r="M49" s="180"/>
      <c r="N49" s="172"/>
      <c r="O49" s="178"/>
      <c r="P49" s="174"/>
      <c r="Q49" s="1"/>
      <c r="R49" s="175"/>
      <c r="S49" s="176"/>
      <c r="T49" s="176"/>
      <c r="U49" s="177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ht="12.75" customHeight="1">
      <c r="A50" s="1"/>
      <c r="B50" s="164"/>
      <c r="C50" s="115"/>
      <c r="D50" s="115"/>
      <c r="E50" s="115"/>
      <c r="F50" s="178"/>
      <c r="G50" s="178"/>
      <c r="H50" s="152"/>
      <c r="I50" s="151"/>
      <c r="J50" s="151"/>
      <c r="K50" s="115"/>
      <c r="L50" s="115"/>
      <c r="M50" s="180"/>
      <c r="N50" s="172"/>
      <c r="O50" s="178"/>
      <c r="P50" s="174"/>
      <c r="Q50" s="1"/>
      <c r="R50" s="175"/>
      <c r="S50" s="176"/>
      <c r="T50" s="176"/>
      <c r="U50" s="177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ht="12.75" customHeight="1">
      <c r="A51" s="1"/>
      <c r="B51" s="164"/>
      <c r="C51" s="115"/>
      <c r="D51" s="115"/>
      <c r="E51" s="115"/>
      <c r="F51" s="178"/>
      <c r="G51" s="178"/>
      <c r="H51" s="152"/>
      <c r="I51" s="151"/>
      <c r="J51" s="151"/>
      <c r="K51" s="115"/>
      <c r="L51" s="115"/>
      <c r="M51" s="180"/>
      <c r="N51" s="172"/>
      <c r="O51" s="178"/>
      <c r="P51" s="174"/>
      <c r="Q51" s="1"/>
      <c r="R51" s="175"/>
      <c r="S51" s="176"/>
      <c r="T51" s="176"/>
      <c r="U51" s="177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ht="12.75" customHeight="1">
      <c r="A52" s="1"/>
      <c r="B52" s="164"/>
      <c r="C52" s="115"/>
      <c r="D52" s="115"/>
      <c r="E52" s="115"/>
      <c r="F52" s="178"/>
      <c r="G52" s="178"/>
      <c r="H52" s="152"/>
      <c r="I52" s="151"/>
      <c r="J52" s="151"/>
      <c r="K52" s="115"/>
      <c r="L52" s="115"/>
      <c r="M52" s="180"/>
      <c r="N52" s="172"/>
      <c r="O52" s="178"/>
      <c r="P52" s="174"/>
      <c r="Q52" s="1"/>
      <c r="R52" s="175"/>
      <c r="S52" s="176"/>
      <c r="T52" s="176"/>
      <c r="U52" s="177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ht="13.5" customHeight="1">
      <c r="A53" s="1"/>
      <c r="B53" s="122"/>
      <c r="C53" s="142"/>
      <c r="D53" s="142"/>
      <c r="E53" s="142"/>
      <c r="F53" s="183"/>
      <c r="G53" s="183"/>
      <c r="H53" s="184"/>
      <c r="I53" s="185"/>
      <c r="J53" s="185"/>
      <c r="K53" s="142"/>
      <c r="L53" s="142"/>
      <c r="M53" s="186"/>
      <c r="N53" s="127"/>
      <c r="O53" s="183"/>
      <c r="P53" s="130"/>
      <c r="Q53" s="1"/>
      <c r="R53" s="132"/>
      <c r="S53" s="187"/>
      <c r="T53" s="187"/>
      <c r="U53" s="135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</sheetData>
  <drawing r:id="rId1"/>
</worksheet>
</file>