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21080" windowHeight="9340" activeTab="2"/>
  </bookViews>
  <sheets>
    <sheet name="Journal" sheetId="3" r:id="rId1"/>
    <sheet name="Summary" sheetId="1" r:id="rId2"/>
    <sheet name="Data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4" l="1"/>
  <c r="K39" i="4"/>
  <c r="L39" i="4"/>
  <c r="M39" i="4"/>
  <c r="J39" i="4"/>
  <c r="F38" i="4"/>
  <c r="K38" i="4"/>
  <c r="L38" i="4"/>
  <c r="K37" i="4"/>
  <c r="L37" i="4"/>
  <c r="J37" i="4"/>
  <c r="G37" i="4"/>
  <c r="H37" i="4"/>
  <c r="I37" i="4"/>
  <c r="C12" i="4"/>
  <c r="D12" i="4"/>
  <c r="D16" i="4"/>
  <c r="I20" i="4"/>
  <c r="I21" i="4"/>
  <c r="I22" i="4"/>
  <c r="D33" i="4"/>
  <c r="I38" i="4"/>
  <c r="I39" i="4"/>
  <c r="I12" i="4"/>
  <c r="R39" i="4"/>
  <c r="T39" i="4"/>
  <c r="U39" i="4"/>
  <c r="M37" i="4"/>
  <c r="T37" i="4"/>
  <c r="S39" i="4"/>
  <c r="R37" i="4"/>
  <c r="N37" i="4"/>
  <c r="S37" i="4"/>
  <c r="N20" i="4"/>
  <c r="S20" i="4"/>
  <c r="P39" i="4"/>
  <c r="K21" i="4"/>
  <c r="L21" i="4"/>
  <c r="M21" i="4"/>
  <c r="J21" i="4"/>
  <c r="K22" i="4"/>
  <c r="L22" i="4"/>
  <c r="M22" i="4"/>
  <c r="J22" i="4"/>
  <c r="R22" i="4"/>
  <c r="S22" i="4"/>
  <c r="T22" i="4"/>
  <c r="U22" i="4"/>
  <c r="P22" i="4"/>
  <c r="P21" i="4"/>
  <c r="P16" i="4"/>
  <c r="P33" i="4"/>
  <c r="P37" i="4"/>
  <c r="P20" i="4"/>
  <c r="P38" i="4"/>
  <c r="N12" i="4"/>
  <c r="O22" i="4"/>
  <c r="O21" i="4"/>
  <c r="O20" i="4"/>
  <c r="R33" i="4"/>
  <c r="O38" i="4"/>
  <c r="M38" i="4"/>
  <c r="J38" i="4"/>
  <c r="U37" i="4"/>
  <c r="O37" i="4"/>
  <c r="U33" i="4"/>
  <c r="O33" i="4"/>
  <c r="U20" i="4"/>
  <c r="K20" i="4"/>
  <c r="U16" i="4"/>
  <c r="R16" i="4"/>
  <c r="O16" i="4"/>
  <c r="D8" i="1"/>
</calcChain>
</file>

<file path=xl/sharedStrings.xml><?xml version="1.0" encoding="utf-8"?>
<sst xmlns="http://schemas.openxmlformats.org/spreadsheetml/2006/main" count="107" uniqueCount="59">
  <si>
    <t>Name:</t>
  </si>
  <si>
    <t>Date:</t>
  </si>
  <si>
    <t>Portfolio Value</t>
  </si>
  <si>
    <t>Change in Value</t>
  </si>
  <si>
    <t>Cash</t>
  </si>
  <si>
    <t>Unit Price</t>
  </si>
  <si>
    <t>Value</t>
  </si>
  <si>
    <t># of Units</t>
  </si>
  <si>
    <t>Strike</t>
  </si>
  <si>
    <t>Maturity</t>
  </si>
  <si>
    <t>Elapsed time</t>
  </si>
  <si>
    <t>Previous Cash</t>
  </si>
  <si>
    <t>Present Value</t>
  </si>
  <si>
    <t>Interest Rate:</t>
  </si>
  <si>
    <t>d2</t>
  </si>
  <si>
    <t>d1</t>
  </si>
  <si>
    <t>Unit option price</t>
  </si>
  <si>
    <t>Stock Options</t>
  </si>
  <si>
    <t>Vol</t>
  </si>
  <si>
    <t>Previous Date:</t>
  </si>
  <si>
    <t>Previous positions:</t>
  </si>
  <si>
    <t>Type (put/call)</t>
  </si>
  <si>
    <t>call</t>
  </si>
  <si>
    <t>New positions</t>
  </si>
  <si>
    <t>Delta per unit</t>
  </si>
  <si>
    <t>Total delta</t>
  </si>
  <si>
    <t>Gamma per unit</t>
  </si>
  <si>
    <t>Total Gamma</t>
  </si>
  <si>
    <t>Total gamma</t>
  </si>
  <si>
    <t>digital put</t>
  </si>
  <si>
    <t>Red</t>
  </si>
  <si>
    <t>Blue</t>
  </si>
  <si>
    <t>entries are copied from previous spreadsheet</t>
  </si>
  <si>
    <t>entries are to be updated manually</t>
  </si>
  <si>
    <t>time</t>
  </si>
  <si>
    <t>remaining</t>
  </si>
  <si>
    <t xml:space="preserve">Your book begins with two options having been sold, an Asian call option on the TSX 60, and a binary put on your stock. </t>
  </si>
  <si>
    <t>The proceeds from the sale are in your cash account.</t>
  </si>
  <si>
    <t>TSX 60 Index</t>
  </si>
  <si>
    <t>TSX 60 Options</t>
  </si>
  <si>
    <t>Delta position in shares</t>
  </si>
  <si>
    <t>Delta position in units</t>
  </si>
  <si>
    <t>Theoretical</t>
  </si>
  <si>
    <t>unit option price</t>
  </si>
  <si>
    <t>Bid</t>
  </si>
  <si>
    <t>Ask</t>
  </si>
  <si>
    <t>Change in Cash</t>
  </si>
  <si>
    <t>put</t>
  </si>
  <si>
    <t>Asian call option</t>
  </si>
  <si>
    <t>Marie Barnhill</t>
  </si>
  <si>
    <t>Telus Corporation</t>
  </si>
  <si>
    <t>I used the formulas in Wilmott, Chapter 8.3 and 8.4 to calculate the delta and gamma of the binary put.</t>
  </si>
  <si>
    <t>For the first week I attempted to do a simple delta hedge on both options by buying and selling quantities of the underlier.</t>
  </si>
  <si>
    <t>I then bought/sold the amount of underlier which brought the delta as close as possible to 0.</t>
  </si>
  <si>
    <t>This week I tried gamma-hedging in conjunction with delta hedging in order to minimize the risk due to variations in delta.</t>
  </si>
  <si>
    <t>I also bought a number of puts on Telus Corporation to counter the gamma on the sold binary put.</t>
  </si>
  <si>
    <t>I bought a number of TSX calls to counter the gamma on the sold Asian call option, thus minimizing the total gamma.</t>
  </si>
  <si>
    <t>After neutralizing gammas as much as possible, I then sold the amount of underlier of each which brought deltas as close to 0 as possible.</t>
  </si>
  <si>
    <t>I realized I made a mistake in my last worksheet in calculating the delta of the put. I have corrected it in the new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</si>
</sst>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0.0%"/>
    <numFmt numFmtId="165" formatCode="&quot;$&quot;#,##0.00"/>
    <numFmt numFmtId="166" formatCode="&quot;$&quot;#,##0"/>
    <numFmt numFmtId="167" formatCode="_-&quot;$&quot;* #,##0.000000_-;\-&quot;$&quot;* #,##0.000000_-;_-&quot;$&quot;* &quot;-&quot;??_-;_-@_-"/>
    <numFmt numFmtId="168" formatCode="yyyy/mm/dd\ hh:mm:ss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b/>
      <u/>
      <sz val="16"/>
      <name val="Arial"/>
      <family val="2"/>
    </font>
    <font>
      <sz val="10"/>
      <name val="Arial"/>
    </font>
    <font>
      <b/>
      <u/>
      <sz val="14"/>
      <name val="Arial"/>
      <family val="2"/>
    </font>
    <font>
      <b/>
      <sz val="14"/>
      <name val="Arial"/>
      <family val="2"/>
    </font>
    <font>
      <sz val="10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10" fontId="0" fillId="0" borderId="0" xfId="0" applyNumberFormat="1"/>
    <xf numFmtId="44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4" fillId="0" borderId="0" xfId="0" applyFont="1"/>
    <xf numFmtId="0" fontId="0" fillId="3" borderId="4" xfId="0" applyFill="1" applyBorder="1" applyAlignment="1">
      <alignment horizontal="center"/>
    </xf>
    <xf numFmtId="44" fontId="0" fillId="3" borderId="5" xfId="0" applyNumberFormat="1" applyFill="1" applyBorder="1" applyAlignment="1">
      <alignment horizontal="center"/>
    </xf>
    <xf numFmtId="44" fontId="3" fillId="3" borderId="3" xfId="1" applyFont="1" applyFill="1" applyBorder="1" applyAlignment="1">
      <alignment horizontal="center"/>
    </xf>
    <xf numFmtId="14" fontId="5" fillId="2" borderId="7" xfId="0" applyNumberFormat="1" applyFont="1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3" xfId="0" applyFill="1" applyBorder="1"/>
    <xf numFmtId="0" fontId="4" fillId="4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4" borderId="5" xfId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4" borderId="4" xfId="0" applyFill="1" applyBorder="1"/>
    <xf numFmtId="0" fontId="0" fillId="4" borderId="5" xfId="0" applyFill="1" applyBorder="1"/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0" borderId="0" xfId="0" applyFont="1"/>
    <xf numFmtId="0" fontId="4" fillId="4" borderId="1" xfId="0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7" fontId="0" fillId="4" borderId="5" xfId="1" applyNumberFormat="1" applyFont="1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7" fontId="0" fillId="4" borderId="6" xfId="1" applyNumberFormat="1" applyFont="1" applyFill="1" applyBorder="1" applyAlignment="1">
      <alignment horizontal="right"/>
    </xf>
    <xf numFmtId="7" fontId="0" fillId="4" borderId="7" xfId="1" applyNumberFormat="1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7" fontId="6" fillId="4" borderId="8" xfId="1" applyNumberFormat="1" applyFont="1" applyFill="1" applyBorder="1" applyAlignment="1">
      <alignment horizontal="right"/>
    </xf>
    <xf numFmtId="0" fontId="0" fillId="5" borderId="1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3" xfId="0" applyFill="1" applyBorder="1"/>
    <xf numFmtId="0" fontId="4" fillId="5" borderId="1" xfId="0" applyFont="1" applyFill="1" applyBorder="1"/>
    <xf numFmtId="0" fontId="7" fillId="5" borderId="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7" fontId="0" fillId="5" borderId="5" xfId="0" applyNumberFormat="1" applyFill="1" applyBorder="1" applyAlignment="1">
      <alignment horizontal="center"/>
    </xf>
    <xf numFmtId="7" fontId="6" fillId="5" borderId="4" xfId="1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44" fontId="0" fillId="5" borderId="4" xfId="0" applyNumberFormat="1" applyFill="1" applyBorder="1"/>
    <xf numFmtId="3" fontId="3" fillId="5" borderId="1" xfId="0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8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7" fontId="0" fillId="5" borderId="0" xfId="0" applyNumberFormat="1" applyFill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7" fontId="0" fillId="5" borderId="4" xfId="0" applyNumberFormat="1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7" fontId="0" fillId="5" borderId="6" xfId="1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center"/>
    </xf>
    <xf numFmtId="7" fontId="0" fillId="5" borderId="7" xfId="1" applyNumberFormat="1" applyFont="1" applyFill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7" fontId="0" fillId="5" borderId="5" xfId="1" applyNumberFormat="1" applyFont="1" applyFill="1" applyBorder="1" applyAlignment="1">
      <alignment horizontal="right"/>
    </xf>
    <xf numFmtId="7" fontId="9" fillId="5" borderId="8" xfId="1" applyNumberFormat="1" applyFont="1" applyFill="1" applyBorder="1" applyAlignment="1">
      <alignment horizontal="right"/>
    </xf>
    <xf numFmtId="7" fontId="2" fillId="4" borderId="8" xfId="1" applyNumberFormat="1" applyFont="1" applyFill="1" applyBorder="1" applyAlignment="1">
      <alignment horizontal="right"/>
    </xf>
    <xf numFmtId="7" fontId="2" fillId="4" borderId="0" xfId="1" applyNumberFormat="1" applyFont="1" applyFill="1" applyBorder="1" applyAlignment="1">
      <alignment horizontal="right"/>
    </xf>
    <xf numFmtId="7" fontId="2" fillId="5" borderId="0" xfId="1" applyNumberFormat="1" applyFont="1" applyFill="1" applyBorder="1" applyAlignment="1">
      <alignment horizontal="right"/>
    </xf>
    <xf numFmtId="7" fontId="2" fillId="5" borderId="0" xfId="0" applyNumberFormat="1" applyFont="1" applyFill="1" applyBorder="1" applyAlignment="1">
      <alignment horizontal="right"/>
    </xf>
    <xf numFmtId="7" fontId="2" fillId="5" borderId="4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165" fontId="0" fillId="0" borderId="0" xfId="0" applyNumberFormat="1"/>
    <xf numFmtId="14" fontId="6" fillId="0" borderId="0" xfId="0" applyNumberFormat="1" applyFont="1" applyFill="1" applyBorder="1"/>
    <xf numFmtId="0" fontId="10" fillId="0" borderId="9" xfId="0" applyFont="1" applyBorder="1"/>
    <xf numFmtId="44" fontId="11" fillId="0" borderId="10" xfId="0" applyNumberFormat="1" applyFont="1" applyBorder="1"/>
    <xf numFmtId="0" fontId="10" fillId="0" borderId="0" xfId="0" applyFont="1" applyBorder="1"/>
    <xf numFmtId="44" fontId="11" fillId="0" borderId="0" xfId="0" applyNumberFormat="1" applyFont="1" applyBorder="1"/>
    <xf numFmtId="7" fontId="9" fillId="4" borderId="0" xfId="1" applyNumberFormat="1" applyFont="1" applyFill="1" applyBorder="1" applyAlignment="1">
      <alignment horizontal="right"/>
    </xf>
    <xf numFmtId="7" fontId="6" fillId="4" borderId="0" xfId="1" applyNumberFormat="1" applyFont="1" applyFill="1" applyBorder="1" applyAlignment="1">
      <alignment horizontal="right"/>
    </xf>
    <xf numFmtId="7" fontId="9" fillId="5" borderId="0" xfId="1" applyNumberFormat="1" applyFont="1" applyFill="1" applyBorder="1" applyAlignment="1">
      <alignment horizontal="right"/>
    </xf>
    <xf numFmtId="7" fontId="6" fillId="5" borderId="0" xfId="1" applyNumberFormat="1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165" fontId="12" fillId="4" borderId="4" xfId="0" applyNumberFormat="1" applyFont="1" applyFill="1" applyBorder="1" applyAlignment="1">
      <alignment horizontal="center"/>
    </xf>
    <xf numFmtId="44" fontId="0" fillId="5" borderId="8" xfId="0" applyNumberFormat="1" applyFill="1" applyBorder="1" applyAlignment="1">
      <alignment horizontal="center"/>
    </xf>
    <xf numFmtId="166" fontId="12" fillId="4" borderId="8" xfId="0" applyNumberFormat="1" applyFont="1" applyFill="1" applyBorder="1" applyAlignment="1">
      <alignment horizontal="center"/>
    </xf>
    <xf numFmtId="7" fontId="12" fillId="4" borderId="0" xfId="0" applyNumberFormat="1" applyFont="1" applyFill="1" applyBorder="1" applyAlignment="1">
      <alignment horizontal="center"/>
    </xf>
    <xf numFmtId="165" fontId="12" fillId="5" borderId="8" xfId="0" applyNumberFormat="1" applyFont="1" applyFill="1" applyBorder="1" applyAlignment="1">
      <alignment horizontal="center"/>
    </xf>
    <xf numFmtId="165" fontId="12" fillId="5" borderId="0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44" fontId="2" fillId="3" borderId="10" xfId="0" applyNumberFormat="1" applyFont="1" applyFill="1" applyBorder="1"/>
    <xf numFmtId="0" fontId="2" fillId="3" borderId="9" xfId="0" applyFont="1" applyFill="1" applyBorder="1"/>
    <xf numFmtId="166" fontId="0" fillId="5" borderId="0" xfId="0" applyNumberFormat="1" applyFill="1" applyBorder="1" applyAlignment="1">
      <alignment horizontal="center"/>
    </xf>
    <xf numFmtId="167" fontId="0" fillId="0" borderId="0" xfId="0" applyNumberFormat="1"/>
    <xf numFmtId="7" fontId="0" fillId="0" borderId="0" xfId="0" applyNumberFormat="1"/>
    <xf numFmtId="164" fontId="6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4" fontId="6" fillId="4" borderId="4" xfId="0" applyNumberFormat="1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center"/>
    </xf>
    <xf numFmtId="165" fontId="5" fillId="5" borderId="8" xfId="0" applyNumberFormat="1" applyFont="1" applyFill="1" applyBorder="1" applyAlignment="1">
      <alignment horizontal="center"/>
    </xf>
    <xf numFmtId="2" fontId="0" fillId="5" borderId="3" xfId="0" applyNumberFormat="1" applyFill="1" applyBorder="1"/>
    <xf numFmtId="2" fontId="0" fillId="4" borderId="3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9" fillId="4" borderId="6" xfId="0" applyNumberFormat="1" applyFont="1" applyFill="1" applyBorder="1"/>
    <xf numFmtId="2" fontId="0" fillId="4" borderId="5" xfId="0" applyNumberFormat="1" applyFill="1" applyBorder="1"/>
    <xf numFmtId="165" fontId="6" fillId="4" borderId="0" xfId="0" applyNumberFormat="1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right"/>
    </xf>
    <xf numFmtId="165" fontId="2" fillId="4" borderId="0" xfId="0" applyNumberFormat="1" applyFont="1" applyFill="1" applyBorder="1" applyAlignment="1">
      <alignment horizontal="right"/>
    </xf>
    <xf numFmtId="165" fontId="6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right"/>
    </xf>
    <xf numFmtId="165" fontId="2" fillId="4" borderId="4" xfId="0" applyNumberFormat="1" applyFont="1" applyFill="1" applyBorder="1" applyAlignment="1">
      <alignment horizontal="right"/>
    </xf>
    <xf numFmtId="165" fontId="6" fillId="4" borderId="0" xfId="0" applyNumberFormat="1" applyFont="1" applyFill="1" applyBorder="1" applyAlignment="1">
      <alignment horizontal="right"/>
    </xf>
    <xf numFmtId="2" fontId="0" fillId="4" borderId="7" xfId="0" applyNumberFormat="1" applyFill="1" applyBorder="1"/>
    <xf numFmtId="2" fontId="0" fillId="4" borderId="0" xfId="0" applyNumberFormat="1" applyFill="1" applyBorder="1"/>
    <xf numFmtId="165" fontId="0" fillId="5" borderId="0" xfId="0" applyNumberFormat="1" applyFill="1" applyBorder="1" applyAlignment="1">
      <alignment horizontal="center"/>
    </xf>
    <xf numFmtId="165" fontId="6" fillId="5" borderId="0" xfId="0" applyNumberFormat="1" applyFont="1" applyFill="1" applyBorder="1" applyAlignment="1">
      <alignment horizontal="right"/>
    </xf>
    <xf numFmtId="2" fontId="0" fillId="5" borderId="2" xfId="0" applyNumberFormat="1" applyFill="1" applyBorder="1"/>
    <xf numFmtId="2" fontId="0" fillId="5" borderId="0" xfId="0" applyNumberFormat="1" applyFill="1" applyBorder="1"/>
    <xf numFmtId="2" fontId="0" fillId="5" borderId="7" xfId="0" applyNumberFormat="1" applyFill="1" applyBorder="1"/>
    <xf numFmtId="2" fontId="0" fillId="5" borderId="4" xfId="0" applyNumberFormat="1" applyFill="1" applyBorder="1"/>
    <xf numFmtId="2" fontId="0" fillId="5" borderId="1" xfId="0" applyNumberFormat="1" applyFill="1" applyBorder="1"/>
    <xf numFmtId="2" fontId="0" fillId="5" borderId="8" xfId="0" applyNumberFormat="1" applyFill="1" applyBorder="1"/>
    <xf numFmtId="2" fontId="6" fillId="4" borderId="1" xfId="0" applyNumberFormat="1" applyFont="1" applyFill="1" applyBorder="1"/>
    <xf numFmtId="2" fontId="0" fillId="4" borderId="8" xfId="0" applyNumberFormat="1" applyFill="1" applyBorder="1"/>
    <xf numFmtId="2" fontId="6" fillId="4" borderId="8" xfId="0" applyNumberFormat="1" applyFont="1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164" fontId="6" fillId="5" borderId="8" xfId="0" applyNumberFormat="1" applyFont="1" applyFill="1" applyBorder="1" applyAlignment="1">
      <alignment horizontal="center"/>
    </xf>
    <xf numFmtId="164" fontId="9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7" fontId="0" fillId="5" borderId="0" xfId="0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168" fontId="6" fillId="2" borderId="6" xfId="0" applyNumberFormat="1" applyFont="1" applyFill="1" applyBorder="1"/>
    <xf numFmtId="168" fontId="6" fillId="2" borderId="5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showRuler="0" workbookViewId="0">
      <selection activeCell="D13" sqref="D13"/>
    </sheetView>
  </sheetViews>
  <sheetFormatPr baseColWidth="10" defaultColWidth="8.83203125" defaultRowHeight="12" x14ac:dyDescent="0"/>
  <cols>
    <col min="3" max="3" width="12" customWidth="1"/>
  </cols>
  <sheetData>
    <row r="5" spans="3:4">
      <c r="C5" s="112">
        <v>42297</v>
      </c>
      <c r="D5" t="s">
        <v>36</v>
      </c>
    </row>
    <row r="6" spans="3:4">
      <c r="D6" t="s">
        <v>37</v>
      </c>
    </row>
    <row r="7" spans="3:4">
      <c r="D7" t="s">
        <v>52</v>
      </c>
    </row>
    <row r="8" spans="3:4">
      <c r="D8" t="s">
        <v>51</v>
      </c>
    </row>
    <row r="9" spans="3:4">
      <c r="D9" t="s">
        <v>53</v>
      </c>
    </row>
    <row r="10" spans="3:4">
      <c r="C10" s="112">
        <v>42304</v>
      </c>
      <c r="D10" t="s">
        <v>58</v>
      </c>
    </row>
    <row r="11" spans="3:4">
      <c r="D11" t="s">
        <v>54</v>
      </c>
    </row>
    <row r="12" spans="3:4">
      <c r="D12" t="s">
        <v>56</v>
      </c>
    </row>
    <row r="13" spans="3:4">
      <c r="D13" t="s">
        <v>55</v>
      </c>
    </row>
    <row r="14" spans="3:4">
      <c r="D1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0"/>
  <sheetViews>
    <sheetView showRuler="0" workbookViewId="0">
      <selection activeCell="C9" sqref="C9"/>
    </sheetView>
  </sheetViews>
  <sheetFormatPr baseColWidth="10" defaultColWidth="8.83203125" defaultRowHeight="12" x14ac:dyDescent="0"/>
  <cols>
    <col min="2" max="2" width="10.1640625" bestFit="1" customWidth="1"/>
    <col min="3" max="3" width="15.1640625" customWidth="1"/>
    <col min="4" max="4" width="14.83203125" customWidth="1"/>
  </cols>
  <sheetData>
    <row r="4" spans="2:4">
      <c r="B4" s="8" t="s">
        <v>0</v>
      </c>
      <c r="C4" s="4" t="s">
        <v>49</v>
      </c>
    </row>
    <row r="6" spans="2:4">
      <c r="B6" s="8" t="s">
        <v>1</v>
      </c>
      <c r="C6" s="8" t="s">
        <v>2</v>
      </c>
      <c r="D6" s="8" t="s">
        <v>3</v>
      </c>
    </row>
    <row r="7" spans="2:4">
      <c r="B7" s="1">
        <v>42297</v>
      </c>
      <c r="C7" s="111">
        <v>0</v>
      </c>
      <c r="D7" s="111"/>
    </row>
    <row r="8" spans="2:4">
      <c r="B8" s="1">
        <v>42304</v>
      </c>
      <c r="C8" s="111">
        <v>-5839.14</v>
      </c>
      <c r="D8" s="111">
        <f>C8-C7</f>
        <v>-5839.14</v>
      </c>
    </row>
    <row r="9" spans="2:4">
      <c r="B9" s="1"/>
      <c r="C9" s="111"/>
      <c r="D9" s="111"/>
    </row>
    <row r="10" spans="2:4">
      <c r="B10" s="1"/>
      <c r="C10" s="111"/>
      <c r="D10" s="111"/>
    </row>
    <row r="11" spans="2:4">
      <c r="B11" s="1"/>
      <c r="C11" s="111"/>
      <c r="D11" s="111"/>
    </row>
    <row r="12" spans="2:4">
      <c r="B12" s="1"/>
      <c r="C12" s="111"/>
      <c r="D12" s="111"/>
    </row>
    <row r="13" spans="2:4">
      <c r="B13" s="1"/>
      <c r="C13" s="111"/>
      <c r="D13" s="111"/>
    </row>
    <row r="14" spans="2:4">
      <c r="B14" s="1"/>
      <c r="C14" s="111"/>
      <c r="D14" s="111"/>
    </row>
    <row r="15" spans="2:4">
      <c r="B15" s="1"/>
      <c r="C15" s="111"/>
      <c r="D15" s="111"/>
    </row>
    <row r="16" spans="2:4">
      <c r="B16" s="1"/>
      <c r="C16" s="111"/>
      <c r="D16" s="111"/>
    </row>
    <row r="17" spans="2:4">
      <c r="B17" s="1"/>
      <c r="C17" s="111"/>
      <c r="D17" s="111"/>
    </row>
    <row r="18" spans="2:4">
      <c r="B18" s="1"/>
      <c r="C18" s="111"/>
      <c r="D18" s="111"/>
    </row>
    <row r="19" spans="2:4">
      <c r="B19" s="1"/>
      <c r="C19" s="111"/>
      <c r="D19" s="111"/>
    </row>
    <row r="20" spans="2:4">
      <c r="B20" s="1"/>
      <c r="C20" s="111"/>
      <c r="D20" s="111"/>
    </row>
    <row r="21" spans="2:4">
      <c r="B21" s="1"/>
      <c r="C21" s="111"/>
      <c r="D21" s="111"/>
    </row>
    <row r="22" spans="2:4">
      <c r="B22" s="1"/>
      <c r="C22" s="111"/>
      <c r="D22" s="111"/>
    </row>
    <row r="23" spans="2:4">
      <c r="B23" s="1"/>
      <c r="C23" s="111"/>
      <c r="D23" s="111"/>
    </row>
    <row r="24" spans="2:4">
      <c r="B24" s="1"/>
      <c r="C24" s="111"/>
      <c r="D24" s="111"/>
    </row>
    <row r="25" spans="2:4">
      <c r="B25" s="1"/>
      <c r="C25" s="111"/>
      <c r="D25" s="111"/>
    </row>
    <row r="26" spans="2:4">
      <c r="B26" s="1"/>
      <c r="C26" s="111"/>
      <c r="D26" s="111"/>
    </row>
    <row r="27" spans="2:4">
      <c r="B27" s="1"/>
      <c r="C27" s="111"/>
      <c r="D27" s="111"/>
    </row>
    <row r="28" spans="2:4">
      <c r="B28" s="1"/>
      <c r="C28" s="111"/>
      <c r="D28" s="111"/>
    </row>
    <row r="29" spans="2:4">
      <c r="B29" s="1"/>
      <c r="C29" s="111"/>
      <c r="D29" s="111"/>
    </row>
    <row r="30" spans="2:4">
      <c r="B30" s="1"/>
      <c r="C30" s="111"/>
      <c r="D30" s="111"/>
    </row>
    <row r="31" spans="2:4">
      <c r="B31" s="1"/>
      <c r="C31" s="111"/>
      <c r="D31" s="111"/>
    </row>
    <row r="32" spans="2:4">
      <c r="B32" s="1"/>
      <c r="C32" s="111"/>
      <c r="D32" s="111"/>
    </row>
    <row r="33" spans="2:4">
      <c r="B33" s="1"/>
      <c r="C33" s="111"/>
      <c r="D33" s="111"/>
    </row>
    <row r="34" spans="2:4">
      <c r="B34" s="1"/>
      <c r="C34" s="111"/>
      <c r="D34" s="111"/>
    </row>
    <row r="35" spans="2:4">
      <c r="B35" s="1"/>
      <c r="C35" s="111"/>
      <c r="D35" s="111"/>
    </row>
    <row r="36" spans="2:4">
      <c r="B36" s="1"/>
      <c r="C36" s="111"/>
      <c r="D36" s="111"/>
    </row>
    <row r="37" spans="2:4">
      <c r="B37" s="1"/>
      <c r="C37" s="111"/>
      <c r="D37" s="111"/>
    </row>
    <row r="38" spans="2:4">
      <c r="B38" s="1"/>
      <c r="C38" s="111"/>
      <c r="D38" s="111"/>
    </row>
    <row r="39" spans="2:4">
      <c r="B39" s="1"/>
      <c r="C39" s="111"/>
      <c r="D39" s="111"/>
    </row>
    <row r="40" spans="2:4">
      <c r="B40" s="1"/>
      <c r="C40" s="111"/>
      <c r="D40" s="111"/>
    </row>
    <row r="41" spans="2:4">
      <c r="B41" s="1"/>
      <c r="C41" s="111"/>
      <c r="D41" s="111"/>
    </row>
    <row r="42" spans="2:4">
      <c r="B42" s="1"/>
      <c r="C42" s="111"/>
      <c r="D42" s="111"/>
    </row>
    <row r="43" spans="2:4">
      <c r="B43" s="1"/>
      <c r="C43" s="111"/>
      <c r="D43" s="111"/>
    </row>
    <row r="44" spans="2:4">
      <c r="B44" s="1"/>
      <c r="C44" s="111"/>
      <c r="D44" s="111"/>
    </row>
    <row r="45" spans="2:4">
      <c r="B45" s="1"/>
      <c r="C45" s="111"/>
      <c r="D45" s="111"/>
    </row>
    <row r="46" spans="2:4">
      <c r="B46" s="1"/>
      <c r="C46" s="111"/>
      <c r="D46" s="111"/>
    </row>
    <row r="47" spans="2:4">
      <c r="B47" s="1"/>
      <c r="C47" s="111"/>
      <c r="D47" s="111"/>
    </row>
    <row r="48" spans="2:4">
      <c r="B48" s="1"/>
      <c r="C48" s="111"/>
      <c r="D48" s="111"/>
    </row>
    <row r="49" spans="2:4">
      <c r="B49" s="1"/>
      <c r="C49" s="111"/>
      <c r="D49" s="111"/>
    </row>
    <row r="50" spans="2:4">
      <c r="B50" s="1"/>
      <c r="C50" s="111"/>
      <c r="D50" s="111"/>
    </row>
    <row r="51" spans="2:4">
      <c r="B51" s="1"/>
      <c r="C51" s="111"/>
      <c r="D51" s="111"/>
    </row>
    <row r="52" spans="2:4">
      <c r="B52" s="1"/>
      <c r="C52" s="111"/>
      <c r="D52" s="111"/>
    </row>
    <row r="53" spans="2:4">
      <c r="B53" s="1"/>
      <c r="C53" s="111"/>
      <c r="D53" s="111"/>
    </row>
    <row r="54" spans="2:4">
      <c r="B54" s="1"/>
      <c r="C54" s="111"/>
      <c r="D54" s="111"/>
    </row>
    <row r="55" spans="2:4">
      <c r="B55" s="1"/>
      <c r="C55" s="111"/>
      <c r="D55" s="111"/>
    </row>
    <row r="56" spans="2:4">
      <c r="B56" s="1"/>
      <c r="C56" s="111"/>
      <c r="D56" s="111"/>
    </row>
    <row r="57" spans="2:4">
      <c r="B57" s="1"/>
      <c r="C57" s="111"/>
      <c r="D57" s="111"/>
    </row>
    <row r="58" spans="2:4">
      <c r="B58" s="1"/>
      <c r="C58" s="111"/>
      <c r="D58" s="111"/>
    </row>
    <row r="59" spans="2:4">
      <c r="B59" s="1"/>
      <c r="C59" s="111"/>
      <c r="D59" s="111"/>
    </row>
    <row r="60" spans="2:4">
      <c r="B60" s="1"/>
      <c r="C60" s="111"/>
      <c r="D60" s="111"/>
    </row>
    <row r="61" spans="2:4">
      <c r="B61" s="1"/>
      <c r="C61" s="111"/>
      <c r="D61" s="111"/>
    </row>
    <row r="62" spans="2:4">
      <c r="B62" s="1"/>
      <c r="C62" s="111"/>
      <c r="D62" s="111"/>
    </row>
    <row r="63" spans="2:4">
      <c r="B63" s="1"/>
      <c r="C63" s="111"/>
      <c r="D63" s="111"/>
    </row>
    <row r="64" spans="2:4">
      <c r="B64" s="1"/>
      <c r="C64" s="111"/>
      <c r="D64" s="111"/>
    </row>
    <row r="65" spans="2:4">
      <c r="B65" s="1"/>
      <c r="C65" s="111"/>
      <c r="D65" s="111"/>
    </row>
    <row r="66" spans="2:4">
      <c r="B66" s="1"/>
      <c r="C66" s="111"/>
      <c r="D66" s="111"/>
    </row>
    <row r="67" spans="2:4">
      <c r="B67" s="1"/>
      <c r="C67" s="111"/>
      <c r="D67" s="111"/>
    </row>
    <row r="68" spans="2:4">
      <c r="B68" s="1"/>
      <c r="C68" s="111"/>
      <c r="D68" s="111"/>
    </row>
    <row r="69" spans="2:4">
      <c r="B69" s="1"/>
      <c r="C69" s="111"/>
      <c r="D69" s="111"/>
    </row>
    <row r="70" spans="2:4">
      <c r="B70" s="1"/>
      <c r="C70" s="111"/>
      <c r="D70" s="111"/>
    </row>
    <row r="71" spans="2:4">
      <c r="B71" s="1"/>
      <c r="C71" s="111"/>
      <c r="D71" s="111"/>
    </row>
    <row r="72" spans="2:4">
      <c r="B72" s="1"/>
      <c r="C72" s="111"/>
      <c r="D72" s="111"/>
    </row>
    <row r="73" spans="2:4">
      <c r="B73" s="1"/>
      <c r="C73" s="111"/>
      <c r="D73" s="111"/>
    </row>
    <row r="74" spans="2:4">
      <c r="B74" s="1"/>
      <c r="C74" s="111"/>
      <c r="D74" s="111"/>
    </row>
    <row r="75" spans="2:4">
      <c r="B75" s="1"/>
      <c r="C75" s="111"/>
      <c r="D75" s="111"/>
    </row>
    <row r="76" spans="2:4">
      <c r="B76" s="1"/>
      <c r="C76" s="111"/>
      <c r="D76" s="111"/>
    </row>
    <row r="77" spans="2:4">
      <c r="B77" s="1"/>
      <c r="C77" s="111"/>
      <c r="D77" s="111"/>
    </row>
    <row r="78" spans="2:4">
      <c r="B78" s="1"/>
      <c r="C78" s="111"/>
      <c r="D78" s="111"/>
    </row>
    <row r="79" spans="2:4">
      <c r="B79" s="1"/>
      <c r="C79" s="111"/>
      <c r="D79" s="111"/>
    </row>
    <row r="80" spans="2:4">
      <c r="B80" s="1"/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tabSelected="1" showRuler="0" zoomScale="114" workbookViewId="0">
      <selection activeCell="C4" sqref="C4"/>
    </sheetView>
  </sheetViews>
  <sheetFormatPr baseColWidth="10" defaultColWidth="8.83203125" defaultRowHeight="12" x14ac:dyDescent="0"/>
  <cols>
    <col min="1" max="1" width="22" customWidth="1"/>
    <col min="2" max="2" width="15.1640625" bestFit="1" customWidth="1"/>
    <col min="3" max="3" width="17" bestFit="1" customWidth="1"/>
    <col min="4" max="4" width="12.6640625" customWidth="1"/>
    <col min="5" max="5" width="14.5" customWidth="1"/>
    <col min="6" max="6" width="9" customWidth="1"/>
    <col min="7" max="7" width="14" customWidth="1"/>
    <col min="8" max="8" width="14.83203125" customWidth="1"/>
    <col min="9" max="9" width="20.33203125" customWidth="1"/>
    <col min="10" max="10" width="13.6640625" customWidth="1"/>
    <col min="11" max="13" width="8.33203125" customWidth="1"/>
    <col min="14" max="15" width="14" customWidth="1"/>
    <col min="16" max="16" width="13.5" bestFit="1" customWidth="1"/>
    <col min="17" max="17" width="5.5" customWidth="1"/>
    <col min="18" max="21" width="13" customWidth="1"/>
  </cols>
  <sheetData>
    <row r="1" spans="2:21" ht="13" thickBot="1"/>
    <row r="2" spans="2:21">
      <c r="B2" s="5" t="s">
        <v>1</v>
      </c>
      <c r="C2" s="174">
        <v>42304</v>
      </c>
      <c r="D2" s="1"/>
      <c r="E2" s="26" t="s">
        <v>30</v>
      </c>
      <c r="F2" t="s">
        <v>32</v>
      </c>
    </row>
    <row r="3" spans="2:21">
      <c r="B3" s="6"/>
      <c r="C3" s="12"/>
      <c r="E3" s="28" t="s">
        <v>31</v>
      </c>
      <c r="F3" t="s">
        <v>33</v>
      </c>
    </row>
    <row r="4" spans="2:21" ht="13" thickBot="1">
      <c r="B4" s="7" t="s">
        <v>19</v>
      </c>
      <c r="C4" s="175">
        <v>42297</v>
      </c>
    </row>
    <row r="5" spans="2:21">
      <c r="C5" s="2"/>
    </row>
    <row r="6" spans="2:21">
      <c r="B6" t="s">
        <v>13</v>
      </c>
      <c r="C6" s="2">
        <v>0.03</v>
      </c>
    </row>
    <row r="9" spans="2:21" ht="18">
      <c r="B9" s="47" t="s">
        <v>20</v>
      </c>
      <c r="N9" s="47" t="s">
        <v>23</v>
      </c>
      <c r="O9" s="47"/>
    </row>
    <row r="10" spans="2:21" ht="13" thickBot="1"/>
    <row r="11" spans="2:21" ht="17">
      <c r="B11" s="42" t="s">
        <v>11</v>
      </c>
      <c r="C11" s="43" t="s">
        <v>10</v>
      </c>
      <c r="D11" s="44" t="s">
        <v>12</v>
      </c>
      <c r="I11" s="113" t="s">
        <v>2</v>
      </c>
      <c r="J11" s="115"/>
      <c r="N11" s="131" t="s">
        <v>4</v>
      </c>
    </row>
    <row r="12" spans="2:21" ht="18" thickBot="1">
      <c r="B12" s="11">
        <v>-4220432.17</v>
      </c>
      <c r="C12" s="9">
        <f>(C2-C4)/365</f>
        <v>1.9178082191780823E-2</v>
      </c>
      <c r="D12" s="10">
        <f>B12*EXP($C$6*C12)</f>
        <v>-4222861.0625067344</v>
      </c>
      <c r="G12" s="3"/>
      <c r="I12" s="114">
        <f>D12+D16+SUM(I20:I29)+D33+SUM(I37:I46)</f>
        <v>-5839.1409947126231</v>
      </c>
      <c r="J12" s="116"/>
      <c r="N12" s="130">
        <f>D12+P16+SUM(P20:P29)+P33+SUM(P37:P53)</f>
        <v>6367739.1774932658</v>
      </c>
    </row>
    <row r="13" spans="2:21" ht="13" thickBot="1"/>
    <row r="14" spans="2:21">
      <c r="B14" s="20" t="s">
        <v>38</v>
      </c>
      <c r="C14" s="14"/>
      <c r="D14" s="15"/>
      <c r="N14" s="48" t="s">
        <v>38</v>
      </c>
      <c r="O14" s="121"/>
      <c r="P14" s="51"/>
      <c r="R14" s="20" t="s">
        <v>38</v>
      </c>
      <c r="S14" s="14"/>
      <c r="T14" s="14"/>
      <c r="U14" s="15"/>
    </row>
    <row r="15" spans="2:21">
      <c r="B15" s="39" t="s">
        <v>7</v>
      </c>
      <c r="C15" s="40" t="s">
        <v>5</v>
      </c>
      <c r="D15" s="41" t="s">
        <v>6</v>
      </c>
      <c r="N15" s="21" t="s">
        <v>7</v>
      </c>
      <c r="O15" s="22" t="s">
        <v>6</v>
      </c>
      <c r="P15" s="52" t="s">
        <v>46</v>
      </c>
      <c r="R15" s="16" t="s">
        <v>41</v>
      </c>
      <c r="S15" s="17"/>
      <c r="T15" s="17"/>
      <c r="U15" s="18" t="s">
        <v>28</v>
      </c>
    </row>
    <row r="16" spans="2:21" ht="13" thickBot="1">
      <c r="B16" s="25">
        <v>7830</v>
      </c>
      <c r="C16" s="137">
        <v>808.2</v>
      </c>
      <c r="D16" s="24">
        <f>B16*C16</f>
        <v>6328206</v>
      </c>
      <c r="I16" s="134"/>
      <c r="N16" s="61">
        <v>-8334</v>
      </c>
      <c r="O16" s="123">
        <f>N16*C16</f>
        <v>-6735538.8000000007</v>
      </c>
      <c r="P16" s="53">
        <f>(B16-N16)*C16</f>
        <v>13063744.800000001</v>
      </c>
      <c r="R16" s="141">
        <f>N16+SUM(S20:S29)</f>
        <v>0.44368809888874239</v>
      </c>
      <c r="S16" s="29"/>
      <c r="T16" s="29"/>
      <c r="U16" s="145">
        <f>SUM(U20:U29)</f>
        <v>-4.096499055805225E-3</v>
      </c>
    </row>
    <row r="17" spans="2:21" ht="13" thickBot="1">
      <c r="P17" s="27"/>
    </row>
    <row r="18" spans="2:21">
      <c r="B18" s="62" t="s">
        <v>39</v>
      </c>
      <c r="C18" s="31"/>
      <c r="D18" s="31"/>
      <c r="E18" s="31"/>
      <c r="F18" s="31"/>
      <c r="G18" s="31" t="s">
        <v>44</v>
      </c>
      <c r="H18" s="31" t="s">
        <v>45</v>
      </c>
      <c r="I18" s="49"/>
      <c r="J18" s="31" t="s">
        <v>42</v>
      </c>
      <c r="K18" s="31" t="s">
        <v>34</v>
      </c>
      <c r="L18" s="31"/>
      <c r="M18" s="32"/>
      <c r="N18" s="48" t="s">
        <v>39</v>
      </c>
      <c r="O18" s="121"/>
      <c r="P18" s="51"/>
      <c r="R18" s="13"/>
      <c r="S18" s="14"/>
      <c r="T18" s="14"/>
      <c r="U18" s="15"/>
    </row>
    <row r="19" spans="2:21" ht="13" thickBot="1">
      <c r="B19" s="23" t="s">
        <v>7</v>
      </c>
      <c r="C19" s="33" t="s">
        <v>21</v>
      </c>
      <c r="D19" s="33" t="s">
        <v>8</v>
      </c>
      <c r="E19" s="33" t="s">
        <v>9</v>
      </c>
      <c r="F19" s="33" t="s">
        <v>18</v>
      </c>
      <c r="G19" s="50" t="s">
        <v>16</v>
      </c>
      <c r="H19" s="50" t="s">
        <v>16</v>
      </c>
      <c r="I19" s="33" t="s">
        <v>6</v>
      </c>
      <c r="J19" s="33" t="s">
        <v>43</v>
      </c>
      <c r="K19" s="33" t="s">
        <v>35</v>
      </c>
      <c r="L19" s="33" t="s">
        <v>14</v>
      </c>
      <c r="M19" s="34" t="s">
        <v>15</v>
      </c>
      <c r="N19" s="23" t="s">
        <v>7</v>
      </c>
      <c r="O19" s="33" t="s">
        <v>6</v>
      </c>
      <c r="P19" s="54" t="s">
        <v>46</v>
      </c>
      <c r="R19" s="19" t="s">
        <v>24</v>
      </c>
      <c r="S19" s="29" t="s">
        <v>25</v>
      </c>
      <c r="T19" s="29" t="s">
        <v>26</v>
      </c>
      <c r="U19" s="30" t="s">
        <v>27</v>
      </c>
    </row>
    <row r="20" spans="2:21">
      <c r="B20" s="45">
        <v>-15000</v>
      </c>
      <c r="C20" s="136" t="s">
        <v>48</v>
      </c>
      <c r="D20" s="35">
        <v>814</v>
      </c>
      <c r="E20" s="36">
        <v>42346</v>
      </c>
      <c r="F20" s="135">
        <v>0.15</v>
      </c>
      <c r="G20" s="63">
        <v>7.0533000000000001</v>
      </c>
      <c r="H20" s="63">
        <v>7.0533000000000001</v>
      </c>
      <c r="I20" s="102">
        <f>B20*AVERAGE(H20,G20)</f>
        <v>-105799.5</v>
      </c>
      <c r="J20" s="102"/>
      <c r="K20" s="31">
        <f>(E20-$C$2)/365</f>
        <v>0.11506849315068493</v>
      </c>
      <c r="L20" s="31"/>
      <c r="M20" s="31"/>
      <c r="N20" s="59">
        <f>B20</f>
        <v>-15000</v>
      </c>
      <c r="O20" s="125">
        <f>N20*AVERAGE(G20,H20)</f>
        <v>-105799.5</v>
      </c>
      <c r="P20" s="55">
        <f>MIN((B20-N20)*G20,(B20-N20)*H20)</f>
        <v>0</v>
      </c>
      <c r="R20" s="163">
        <v>0.35599999999999998</v>
      </c>
      <c r="S20" s="164">
        <f>R20*N20</f>
        <v>-5340</v>
      </c>
      <c r="T20" s="165">
        <v>1.44E-2</v>
      </c>
      <c r="U20" s="144">
        <f>T20*N20</f>
        <v>-216</v>
      </c>
    </row>
    <row r="21" spans="2:21">
      <c r="B21" s="46">
        <v>0</v>
      </c>
      <c r="C21" s="22" t="s">
        <v>47</v>
      </c>
      <c r="D21" s="37">
        <v>840</v>
      </c>
      <c r="E21" s="38">
        <v>42356</v>
      </c>
      <c r="F21" s="138">
        <v>7.4999999999999997E-2</v>
      </c>
      <c r="G21" s="118">
        <v>9.1</v>
      </c>
      <c r="H21" s="118">
        <v>10.5</v>
      </c>
      <c r="I21" s="103">
        <f>B21*AVERAGE(H21,G21)</f>
        <v>0</v>
      </c>
      <c r="J21" s="117">
        <f>-$C$16*NORMSDIST(-M21)+D21*EXP(-$C$6*K21)*NORMSDIST(-L21)</f>
        <v>29.490613816186283</v>
      </c>
      <c r="K21" s="22">
        <f>(E21-$C$2)/365</f>
        <v>0.14246575342465753</v>
      </c>
      <c r="L21" s="22">
        <f>(LN($C$16/D21)+($C$6-F21*F21/2)*K21)/(F21*SQRT(K21))</f>
        <v>-1.2264542410523203</v>
      </c>
      <c r="M21" s="22">
        <f>L21+F21*SQRT(K21)</f>
        <v>-1.1981457641767677</v>
      </c>
      <c r="N21" s="60">
        <v>0</v>
      </c>
      <c r="O21" s="126">
        <f>N21*AVERAGE(G21,H21)</f>
        <v>0</v>
      </c>
      <c r="P21" s="56">
        <f>MIN((B21-N21)*G21,(B21-N21)*H21)</f>
        <v>0</v>
      </c>
      <c r="R21" s="166"/>
      <c r="S21" s="154"/>
      <c r="T21" s="154"/>
      <c r="U21" s="153"/>
    </row>
    <row r="22" spans="2:21">
      <c r="B22" s="46">
        <v>0</v>
      </c>
      <c r="C22" s="22" t="s">
        <v>22</v>
      </c>
      <c r="D22" s="22">
        <v>810</v>
      </c>
      <c r="E22" s="38">
        <v>42356</v>
      </c>
      <c r="F22" s="172">
        <v>0.15720000000000001</v>
      </c>
      <c r="G22" s="152">
        <v>21.8</v>
      </c>
      <c r="H22" s="118">
        <v>25.55</v>
      </c>
      <c r="I22" s="148">
        <f>B22*AVERAGE(G22,H22)</f>
        <v>0</v>
      </c>
      <c r="J22" s="117">
        <f>$C$16*NORMSDIST(M22)-D22*EXP(-$C$6*K22)*NORMSDIST(L22)</f>
        <v>19.947229032683367</v>
      </c>
      <c r="K22" s="22">
        <f>(E22-$C$2)/365</f>
        <v>0.14246575342465753</v>
      </c>
      <c r="L22" s="22">
        <f>(LN($C$16/D22)+($C$6-F22*F22/2)*K22)/(F22*SQRT(K22))</f>
        <v>4.8703840037618356E-3</v>
      </c>
      <c r="M22" s="22">
        <f>L22+F22*SQRT(K22)</f>
        <v>6.4204951534920174E-2</v>
      </c>
      <c r="N22" s="60">
        <v>26017</v>
      </c>
      <c r="O22" s="126">
        <f>N22*AVERAGE(G22,H22)</f>
        <v>615952.47499999998</v>
      </c>
      <c r="P22" s="56">
        <f>MIN((B22-N22)*G22,(B22-N22)*H22)</f>
        <v>-664734.35</v>
      </c>
      <c r="R22" s="166">
        <f>NORMSDIST(M22)</f>
        <v>0.52559648261132674</v>
      </c>
      <c r="S22" s="154">
        <f>R22*N22</f>
        <v>13674.443688098889</v>
      </c>
      <c r="T22" s="154">
        <f>NORMDIST(M22,0,1,FALSE)/(F22*C16*SQRT(K22))</f>
        <v>8.3021064496653797E-3</v>
      </c>
      <c r="U22" s="153">
        <f>T22*N22</f>
        <v>215.99590350094419</v>
      </c>
    </row>
    <row r="23" spans="2:21">
      <c r="B23" s="46"/>
      <c r="C23" s="22"/>
      <c r="D23" s="22"/>
      <c r="E23" s="22"/>
      <c r="F23" s="172"/>
      <c r="G23" s="146"/>
      <c r="H23" s="147"/>
      <c r="I23" s="148"/>
      <c r="J23" s="148"/>
      <c r="K23" s="22"/>
      <c r="L23" s="22"/>
      <c r="M23" s="22"/>
      <c r="N23" s="60"/>
      <c r="O23" s="57"/>
      <c r="P23" s="56"/>
      <c r="R23" s="166"/>
      <c r="S23" s="154"/>
      <c r="T23" s="154"/>
      <c r="U23" s="153"/>
    </row>
    <row r="24" spans="2:21">
      <c r="B24" s="46"/>
      <c r="C24" s="22"/>
      <c r="D24" s="22"/>
      <c r="E24" s="22"/>
      <c r="F24" s="172"/>
      <c r="G24" s="146"/>
      <c r="H24" s="147"/>
      <c r="I24" s="148"/>
      <c r="J24" s="148"/>
      <c r="K24" s="22"/>
      <c r="L24" s="22"/>
      <c r="M24" s="22"/>
      <c r="N24" s="60"/>
      <c r="O24" s="57"/>
      <c r="P24" s="56"/>
      <c r="R24" s="166"/>
      <c r="S24" s="154"/>
      <c r="T24" s="154"/>
      <c r="U24" s="153"/>
    </row>
    <row r="25" spans="2:21">
      <c r="B25" s="46"/>
      <c r="C25" s="22"/>
      <c r="D25" s="22"/>
      <c r="E25" s="22"/>
      <c r="F25" s="172"/>
      <c r="G25" s="146"/>
      <c r="H25" s="147"/>
      <c r="I25" s="148"/>
      <c r="J25" s="148"/>
      <c r="K25" s="22"/>
      <c r="L25" s="22"/>
      <c r="M25" s="22"/>
      <c r="N25" s="60"/>
      <c r="O25" s="57"/>
      <c r="P25" s="56"/>
      <c r="R25" s="166"/>
      <c r="S25" s="154"/>
      <c r="T25" s="154"/>
      <c r="U25" s="153"/>
    </row>
    <row r="26" spans="2:21">
      <c r="B26" s="46"/>
      <c r="C26" s="22"/>
      <c r="D26" s="22"/>
      <c r="E26" s="22"/>
      <c r="F26" s="172"/>
      <c r="G26" s="146"/>
      <c r="H26" s="147"/>
      <c r="I26" s="148"/>
      <c r="J26" s="148"/>
      <c r="K26" s="22"/>
      <c r="L26" s="22"/>
      <c r="M26" s="22"/>
      <c r="N26" s="60"/>
      <c r="O26" s="57"/>
      <c r="P26" s="56"/>
      <c r="R26" s="166"/>
      <c r="S26" s="154"/>
      <c r="T26" s="154"/>
      <c r="U26" s="153"/>
    </row>
    <row r="27" spans="2:21">
      <c r="B27" s="46"/>
      <c r="C27" s="22"/>
      <c r="D27" s="22"/>
      <c r="E27" s="22"/>
      <c r="F27" s="172"/>
      <c r="G27" s="146"/>
      <c r="H27" s="147"/>
      <c r="I27" s="148"/>
      <c r="J27" s="148"/>
      <c r="K27" s="22"/>
      <c r="L27" s="22"/>
      <c r="M27" s="22"/>
      <c r="N27" s="60"/>
      <c r="O27" s="57"/>
      <c r="P27" s="56"/>
      <c r="R27" s="166"/>
      <c r="S27" s="154"/>
      <c r="T27" s="154"/>
      <c r="U27" s="153"/>
    </row>
    <row r="28" spans="2:21">
      <c r="B28" s="46"/>
      <c r="C28" s="22"/>
      <c r="D28" s="22"/>
      <c r="E28" s="22"/>
      <c r="F28" s="172"/>
      <c r="G28" s="146"/>
      <c r="H28" s="147"/>
      <c r="I28" s="148"/>
      <c r="J28" s="148"/>
      <c r="K28" s="22"/>
      <c r="L28" s="22"/>
      <c r="M28" s="22"/>
      <c r="N28" s="60"/>
      <c r="O28" s="57"/>
      <c r="P28" s="56"/>
      <c r="R28" s="166"/>
      <c r="S28" s="154"/>
      <c r="T28" s="154"/>
      <c r="U28" s="153"/>
    </row>
    <row r="29" spans="2:21" ht="13" thickBot="1">
      <c r="B29" s="25"/>
      <c r="C29" s="33"/>
      <c r="D29" s="33"/>
      <c r="E29" s="33"/>
      <c r="F29" s="173"/>
      <c r="G29" s="149"/>
      <c r="H29" s="150"/>
      <c r="I29" s="151"/>
      <c r="J29" s="151"/>
      <c r="K29" s="33"/>
      <c r="L29" s="33"/>
      <c r="M29" s="33"/>
      <c r="N29" s="61"/>
      <c r="O29" s="58"/>
      <c r="P29" s="53"/>
      <c r="R29" s="141"/>
      <c r="S29" s="167"/>
      <c r="T29" s="167"/>
      <c r="U29" s="145"/>
    </row>
    <row r="30" spans="2:21" ht="13" thickBot="1">
      <c r="H30" s="3"/>
    </row>
    <row r="31" spans="2:21">
      <c r="B31" s="71" t="s">
        <v>50</v>
      </c>
      <c r="C31" s="65"/>
      <c r="D31" s="66"/>
      <c r="H31" s="3"/>
      <c r="N31" s="107" t="s">
        <v>50</v>
      </c>
      <c r="O31" s="122"/>
      <c r="P31" s="66"/>
      <c r="R31" s="71" t="s">
        <v>50</v>
      </c>
      <c r="S31" s="65"/>
      <c r="T31" s="65"/>
      <c r="U31" s="66"/>
    </row>
    <row r="32" spans="2:21">
      <c r="B32" s="72" t="s">
        <v>7</v>
      </c>
      <c r="C32" s="73" t="s">
        <v>5</v>
      </c>
      <c r="D32" s="74" t="s">
        <v>6</v>
      </c>
      <c r="F32" s="134"/>
      <c r="G32" s="134"/>
      <c r="H32" s="3"/>
      <c r="N32" s="108" t="s">
        <v>7</v>
      </c>
      <c r="O32" s="86" t="s">
        <v>6</v>
      </c>
      <c r="P32" s="109" t="s">
        <v>46</v>
      </c>
      <c r="R32" s="67" t="s">
        <v>40</v>
      </c>
      <c r="S32" s="68"/>
      <c r="T32" s="68"/>
      <c r="U32" s="69" t="s">
        <v>28</v>
      </c>
    </row>
    <row r="33" spans="2:21" ht="13" thickBot="1">
      <c r="B33" s="77">
        <v>-44087</v>
      </c>
      <c r="C33" s="76">
        <v>44.09</v>
      </c>
      <c r="D33" s="75">
        <f>B33*C33</f>
        <v>-1943795.83</v>
      </c>
      <c r="H33" s="133"/>
      <c r="I33" s="134"/>
      <c r="N33" s="99">
        <v>-4534</v>
      </c>
      <c r="O33" s="129">
        <f>N33*C33</f>
        <v>-199904.06000000003</v>
      </c>
      <c r="P33" s="100">
        <f>(B33-N33)*C33</f>
        <v>-1743891.77</v>
      </c>
      <c r="R33" s="140">
        <f>N33+SUM(S37:S53)</f>
        <v>0.33309427918720758</v>
      </c>
      <c r="S33" s="78"/>
      <c r="T33" s="78"/>
      <c r="U33" s="142">
        <f>SUM(U37:U53)</f>
        <v>-9.0916143726644805E-3</v>
      </c>
    </row>
    <row r="34" spans="2:21" ht="13" thickBot="1">
      <c r="H34" s="3"/>
    </row>
    <row r="35" spans="2:21">
      <c r="B35" s="64" t="s">
        <v>17</v>
      </c>
      <c r="C35" s="65"/>
      <c r="D35" s="65"/>
      <c r="E35" s="65"/>
      <c r="F35" s="65"/>
      <c r="G35" s="82" t="s">
        <v>44</v>
      </c>
      <c r="H35" s="124" t="s">
        <v>45</v>
      </c>
      <c r="I35" s="65"/>
      <c r="J35" s="82" t="s">
        <v>42</v>
      </c>
      <c r="K35" s="65" t="s">
        <v>34</v>
      </c>
      <c r="L35" s="65"/>
      <c r="M35" s="66"/>
      <c r="N35" s="64" t="s">
        <v>17</v>
      </c>
      <c r="O35" s="65"/>
      <c r="P35" s="66"/>
      <c r="R35" s="64"/>
      <c r="S35" s="65"/>
      <c r="T35" s="65"/>
      <c r="U35" s="66"/>
    </row>
    <row r="36" spans="2:21" ht="13" thickBot="1">
      <c r="B36" s="70" t="s">
        <v>7</v>
      </c>
      <c r="C36" s="78" t="s">
        <v>21</v>
      </c>
      <c r="D36" s="78" t="s">
        <v>8</v>
      </c>
      <c r="E36" s="78" t="s">
        <v>9</v>
      </c>
      <c r="F36" s="78" t="s">
        <v>18</v>
      </c>
      <c r="G36" s="80" t="s">
        <v>16</v>
      </c>
      <c r="H36" s="80" t="s">
        <v>16</v>
      </c>
      <c r="I36" s="91" t="s">
        <v>6</v>
      </c>
      <c r="J36" s="91" t="s">
        <v>43</v>
      </c>
      <c r="K36" s="78" t="s">
        <v>35</v>
      </c>
      <c r="L36" s="78" t="s">
        <v>14</v>
      </c>
      <c r="M36" s="79" t="s">
        <v>15</v>
      </c>
      <c r="N36" s="70" t="s">
        <v>7</v>
      </c>
      <c r="O36" s="91" t="s">
        <v>6</v>
      </c>
      <c r="P36" s="110" t="s">
        <v>46</v>
      </c>
      <c r="R36" s="70" t="s">
        <v>24</v>
      </c>
      <c r="S36" s="78" t="s">
        <v>25</v>
      </c>
      <c r="T36" s="78" t="s">
        <v>26</v>
      </c>
      <c r="U36" s="79" t="s">
        <v>27</v>
      </c>
    </row>
    <row r="37" spans="2:21">
      <c r="B37" s="81">
        <v>-232000</v>
      </c>
      <c r="C37" s="82" t="s">
        <v>29</v>
      </c>
      <c r="D37" s="139">
        <v>42.49</v>
      </c>
      <c r="E37" s="83">
        <v>42346</v>
      </c>
      <c r="F37" s="168">
        <v>0.182</v>
      </c>
      <c r="G37" s="101">
        <f>J37</f>
        <v>0.26546874348266447</v>
      </c>
      <c r="H37" s="101">
        <f>J37</f>
        <v>0.26546874348266447</v>
      </c>
      <c r="I37" s="104">
        <f>B37*AVERAGE(H37,G37)</f>
        <v>-61588.748487978155</v>
      </c>
      <c r="J37" s="119">
        <f>EXP(-$C$6*K37)*NORMSDIST(-L37)</f>
        <v>0.26546874348266447</v>
      </c>
      <c r="K37" s="82">
        <f>(E37-$C$2)/365</f>
        <v>0.11506849315068493</v>
      </c>
      <c r="L37" s="82">
        <f>(LN($C$33/D37)+($C$6-F37*F37/2)*K37)/(F37*SQRT(K37))</f>
        <v>0.62377786334739482</v>
      </c>
      <c r="M37" s="84">
        <f>L37+F37*SQRT(K37)</f>
        <v>0.68551544320863722</v>
      </c>
      <c r="N37" s="95">
        <f>B37</f>
        <v>-232000</v>
      </c>
      <c r="O37" s="127">
        <f>N37*AVERAGE(G37:H37)</f>
        <v>-61588.748487978155</v>
      </c>
      <c r="P37" s="96">
        <f>MIN((B37-N37)*G37,(B37-N37)*H37)</f>
        <v>0</v>
      </c>
      <c r="R37" s="161">
        <f>-EXP(-$C$6*K37)*NORMDIST(L37,0,1,FALSE)/(F37*C33*SQRT(K37))</f>
        <v>-0.12023458863906855</v>
      </c>
      <c r="S37" s="162">
        <f>R37*N37</f>
        <v>27894.424564263903</v>
      </c>
      <c r="T37" s="162">
        <f>EXP(-C6*K37)*M37*NORMDIST(L37,0,1,FALSE)/(F37*F37*C33*C33*K37)</f>
        <v>3.0280076291622295E-2</v>
      </c>
      <c r="U37" s="143">
        <f>T37*B37</f>
        <v>-7024.9776996563724</v>
      </c>
    </row>
    <row r="38" spans="2:21">
      <c r="B38" s="85">
        <v>0</v>
      </c>
      <c r="C38" s="86" t="s">
        <v>22</v>
      </c>
      <c r="D38" s="132">
        <v>95</v>
      </c>
      <c r="E38" s="87">
        <v>42356</v>
      </c>
      <c r="F38" s="169">
        <f>F37</f>
        <v>0.182</v>
      </c>
      <c r="G38" s="120">
        <v>8.5</v>
      </c>
      <c r="H38" s="120">
        <v>9</v>
      </c>
      <c r="I38" s="104">
        <f>B38*AVERAGE(H38,G38)</f>
        <v>0</v>
      </c>
      <c r="J38" s="119">
        <f>$C$33*NORMSDIST(M38)-D38*EXP(-$C$6*K38)*NORMSDIST(L38)</f>
        <v>2.1439548966438609E-29</v>
      </c>
      <c r="K38" s="86">
        <f>(E38-$C$2)/365</f>
        <v>0.14246575342465753</v>
      </c>
      <c r="L38" s="86">
        <f>(LN($C$33/D38)+($C$6-F38*F38/2)*K38)/(F38*SQRT(K38))</f>
        <v>-11.146761674409733</v>
      </c>
      <c r="M38" s="88">
        <f>L38+F38*SQRT(K38)</f>
        <v>-11.078066437191726</v>
      </c>
      <c r="N38" s="97">
        <v>0</v>
      </c>
      <c r="O38" s="128">
        <f>N38*AVERAGE(G38:H38)</f>
        <v>0</v>
      </c>
      <c r="P38" s="98">
        <f>MIN((B38-N38)*G38,(B38-N38)*H38)</f>
        <v>0</v>
      </c>
      <c r="R38" s="157"/>
      <c r="S38" s="158"/>
      <c r="T38" s="158"/>
      <c r="U38" s="159"/>
    </row>
    <row r="39" spans="2:21">
      <c r="B39" s="85">
        <v>0</v>
      </c>
      <c r="C39" s="86" t="s">
        <v>47</v>
      </c>
      <c r="D39" s="155">
        <v>44</v>
      </c>
      <c r="E39" s="87">
        <v>42356</v>
      </c>
      <c r="F39" s="170">
        <v>0.17610000000000001</v>
      </c>
      <c r="G39" s="156">
        <v>1.03</v>
      </c>
      <c r="H39" s="156">
        <v>1.24</v>
      </c>
      <c r="I39" s="104">
        <f>B39*AVERAGE(H39,G39)</f>
        <v>0</v>
      </c>
      <c r="J39" s="171">
        <f>-$C$33*NORMSDIST(-M39)+D39*EXP(-$C$6*K39)*NORMSDIST(-L39)</f>
        <v>1.0316697117956153</v>
      </c>
      <c r="K39" s="86">
        <f>(E39-$C$2)/365</f>
        <v>0.14246575342465753</v>
      </c>
      <c r="L39" s="86">
        <f>(LN($C$33/D39)+($C$6-F39*F39/2)*K39)/(F39*SQRT(K39))</f>
        <v>6.1808713729219145E-2</v>
      </c>
      <c r="M39" s="88">
        <f>L39+F39*SQRT(K39)</f>
        <v>0.12827701743301675</v>
      </c>
      <c r="N39" s="97">
        <v>52031</v>
      </c>
      <c r="O39" s="128">
        <f>N39*AVERAGE(G39,H39)</f>
        <v>59055.184999999998</v>
      </c>
      <c r="P39" s="98">
        <f>MIN((B39-N39)*G39,(B39-N39)*H39)</f>
        <v>-64518.44</v>
      </c>
      <c r="R39" s="157">
        <f>NORMSDIST(M39)-1</f>
        <v>-0.44896487613124325</v>
      </c>
      <c r="S39" s="158">
        <f>R39*N39</f>
        <v>-23360.091469984716</v>
      </c>
      <c r="T39" s="158">
        <f>NORMDIST(M39,0,1,FALSE)/(F39*C33*SQRT(K39))</f>
        <v>0.13501506040710345</v>
      </c>
      <c r="U39" s="159">
        <f>T39*N39</f>
        <v>7024.9686080419997</v>
      </c>
    </row>
    <row r="40" spans="2:21">
      <c r="B40" s="85"/>
      <c r="C40" s="86"/>
      <c r="D40" s="86"/>
      <c r="E40" s="86"/>
      <c r="F40" s="89"/>
      <c r="G40" s="89"/>
      <c r="H40" s="90"/>
      <c r="I40" s="105"/>
      <c r="J40" s="105"/>
      <c r="K40" s="86"/>
      <c r="L40" s="86"/>
      <c r="M40" s="88"/>
      <c r="N40" s="97"/>
      <c r="O40" s="89"/>
      <c r="P40" s="98"/>
      <c r="R40" s="157"/>
      <c r="S40" s="158"/>
      <c r="T40" s="158"/>
      <c r="U40" s="159"/>
    </row>
    <row r="41" spans="2:21">
      <c r="B41" s="85"/>
      <c r="C41" s="86"/>
      <c r="D41" s="86"/>
      <c r="E41" s="86"/>
      <c r="F41" s="89"/>
      <c r="G41" s="89"/>
      <c r="H41" s="90"/>
      <c r="I41" s="105"/>
      <c r="J41" s="105"/>
      <c r="K41" s="86"/>
      <c r="L41" s="86"/>
      <c r="M41" s="88"/>
      <c r="N41" s="97"/>
      <c r="O41" s="89"/>
      <c r="P41" s="98"/>
      <c r="R41" s="157"/>
      <c r="S41" s="158"/>
      <c r="T41" s="158"/>
      <c r="U41" s="159"/>
    </row>
    <row r="42" spans="2:21">
      <c r="B42" s="85"/>
      <c r="C42" s="86"/>
      <c r="D42" s="86"/>
      <c r="E42" s="86"/>
      <c r="F42" s="89"/>
      <c r="G42" s="89"/>
      <c r="H42" s="90"/>
      <c r="I42" s="105"/>
      <c r="J42" s="105"/>
      <c r="K42" s="86"/>
      <c r="L42" s="86"/>
      <c r="M42" s="88"/>
      <c r="N42" s="97"/>
      <c r="O42" s="89"/>
      <c r="P42" s="98"/>
      <c r="R42" s="157"/>
      <c r="S42" s="158"/>
      <c r="T42" s="158"/>
      <c r="U42" s="159"/>
    </row>
    <row r="43" spans="2:21">
      <c r="B43" s="85"/>
      <c r="C43" s="86"/>
      <c r="D43" s="86"/>
      <c r="E43" s="86"/>
      <c r="F43" s="89"/>
      <c r="G43" s="89"/>
      <c r="H43" s="90"/>
      <c r="I43" s="105"/>
      <c r="J43" s="105"/>
      <c r="K43" s="86"/>
      <c r="L43" s="86"/>
      <c r="M43" s="88"/>
      <c r="N43" s="97"/>
      <c r="O43" s="89"/>
      <c r="P43" s="98"/>
      <c r="R43" s="157"/>
      <c r="S43" s="158"/>
      <c r="T43" s="158"/>
      <c r="U43" s="159"/>
    </row>
    <row r="44" spans="2:21">
      <c r="B44" s="85"/>
      <c r="C44" s="86"/>
      <c r="D44" s="86"/>
      <c r="E44" s="86"/>
      <c r="F44" s="89"/>
      <c r="G44" s="89"/>
      <c r="H44" s="90"/>
      <c r="I44" s="105"/>
      <c r="J44" s="105"/>
      <c r="K44" s="86"/>
      <c r="L44" s="86"/>
      <c r="M44" s="88"/>
      <c r="N44" s="97"/>
      <c r="O44" s="89"/>
      <c r="P44" s="98"/>
      <c r="R44" s="157"/>
      <c r="S44" s="158"/>
      <c r="T44" s="158"/>
      <c r="U44" s="159"/>
    </row>
    <row r="45" spans="2:21">
      <c r="B45" s="85"/>
      <c r="C45" s="86"/>
      <c r="D45" s="86"/>
      <c r="E45" s="86"/>
      <c r="F45" s="89"/>
      <c r="G45" s="89"/>
      <c r="H45" s="90"/>
      <c r="I45" s="105"/>
      <c r="J45" s="105"/>
      <c r="K45" s="86"/>
      <c r="L45" s="86"/>
      <c r="M45" s="88"/>
      <c r="N45" s="97"/>
      <c r="O45" s="89"/>
      <c r="P45" s="98"/>
      <c r="R45" s="157"/>
      <c r="S45" s="158"/>
      <c r="T45" s="158"/>
      <c r="U45" s="159"/>
    </row>
    <row r="46" spans="2:21">
      <c r="B46" s="85"/>
      <c r="C46" s="86"/>
      <c r="D46" s="86"/>
      <c r="E46" s="86"/>
      <c r="F46" s="89"/>
      <c r="G46" s="89"/>
      <c r="H46" s="90"/>
      <c r="I46" s="105"/>
      <c r="J46" s="105"/>
      <c r="K46" s="86"/>
      <c r="L46" s="86"/>
      <c r="M46" s="88"/>
      <c r="N46" s="97"/>
      <c r="O46" s="89"/>
      <c r="P46" s="98"/>
      <c r="R46" s="157"/>
      <c r="S46" s="158"/>
      <c r="T46" s="158"/>
      <c r="U46" s="159"/>
    </row>
    <row r="47" spans="2:21">
      <c r="B47" s="85"/>
      <c r="C47" s="86"/>
      <c r="D47" s="86"/>
      <c r="E47" s="86"/>
      <c r="F47" s="89"/>
      <c r="G47" s="89"/>
      <c r="H47" s="90"/>
      <c r="I47" s="105"/>
      <c r="J47" s="105"/>
      <c r="K47" s="86"/>
      <c r="L47" s="86"/>
      <c r="M47" s="88"/>
      <c r="N47" s="97"/>
      <c r="O47" s="89"/>
      <c r="P47" s="98"/>
      <c r="R47" s="157"/>
      <c r="S47" s="158"/>
      <c r="T47" s="158"/>
      <c r="U47" s="159"/>
    </row>
    <row r="48" spans="2:21">
      <c r="B48" s="85"/>
      <c r="C48" s="86"/>
      <c r="D48" s="86"/>
      <c r="E48" s="86"/>
      <c r="F48" s="89"/>
      <c r="G48" s="89"/>
      <c r="H48" s="90"/>
      <c r="I48" s="105"/>
      <c r="J48" s="105"/>
      <c r="K48" s="86"/>
      <c r="L48" s="86"/>
      <c r="M48" s="88"/>
      <c r="N48" s="97"/>
      <c r="O48" s="89"/>
      <c r="P48" s="98"/>
      <c r="R48" s="157"/>
      <c r="S48" s="158"/>
      <c r="T48" s="158"/>
      <c r="U48" s="159"/>
    </row>
    <row r="49" spans="2:21">
      <c r="B49" s="85"/>
      <c r="C49" s="86"/>
      <c r="D49" s="86"/>
      <c r="E49" s="86"/>
      <c r="F49" s="89"/>
      <c r="G49" s="89"/>
      <c r="H49" s="90"/>
      <c r="I49" s="105"/>
      <c r="J49" s="105"/>
      <c r="K49" s="86"/>
      <c r="L49" s="86"/>
      <c r="M49" s="88"/>
      <c r="N49" s="97"/>
      <c r="O49" s="89"/>
      <c r="P49" s="98"/>
      <c r="R49" s="157"/>
      <c r="S49" s="158"/>
      <c r="T49" s="158"/>
      <c r="U49" s="159"/>
    </row>
    <row r="50" spans="2:21">
      <c r="B50" s="85"/>
      <c r="C50" s="86"/>
      <c r="D50" s="86"/>
      <c r="E50" s="86"/>
      <c r="F50" s="89"/>
      <c r="G50" s="89"/>
      <c r="H50" s="90"/>
      <c r="I50" s="105"/>
      <c r="J50" s="105"/>
      <c r="K50" s="86"/>
      <c r="L50" s="86"/>
      <c r="M50" s="88"/>
      <c r="N50" s="97"/>
      <c r="O50" s="89"/>
      <c r="P50" s="98"/>
      <c r="R50" s="157"/>
      <c r="S50" s="158"/>
      <c r="T50" s="158"/>
      <c r="U50" s="159"/>
    </row>
    <row r="51" spans="2:21">
      <c r="B51" s="85"/>
      <c r="C51" s="86"/>
      <c r="D51" s="86"/>
      <c r="E51" s="86"/>
      <c r="F51" s="89"/>
      <c r="G51" s="89"/>
      <c r="H51" s="90"/>
      <c r="I51" s="105"/>
      <c r="J51" s="105"/>
      <c r="K51" s="86"/>
      <c r="L51" s="86"/>
      <c r="M51" s="88"/>
      <c r="N51" s="97"/>
      <c r="O51" s="89"/>
      <c r="P51" s="98"/>
      <c r="R51" s="157"/>
      <c r="S51" s="158"/>
      <c r="T51" s="158"/>
      <c r="U51" s="159"/>
    </row>
    <row r="52" spans="2:21">
      <c r="B52" s="85"/>
      <c r="C52" s="86"/>
      <c r="D52" s="86"/>
      <c r="E52" s="86"/>
      <c r="F52" s="89"/>
      <c r="G52" s="89"/>
      <c r="H52" s="90"/>
      <c r="I52" s="105"/>
      <c r="J52" s="105"/>
      <c r="K52" s="86"/>
      <c r="L52" s="86"/>
      <c r="M52" s="88"/>
      <c r="N52" s="97"/>
      <c r="O52" s="89"/>
      <c r="P52" s="98"/>
      <c r="R52" s="157"/>
      <c r="S52" s="158"/>
      <c r="T52" s="158"/>
      <c r="U52" s="159"/>
    </row>
    <row r="53" spans="2:21" ht="13" thickBot="1">
      <c r="B53" s="77"/>
      <c r="C53" s="91"/>
      <c r="D53" s="91"/>
      <c r="E53" s="91"/>
      <c r="F53" s="92"/>
      <c r="G53" s="92"/>
      <c r="H53" s="93"/>
      <c r="I53" s="106"/>
      <c r="J53" s="106"/>
      <c r="K53" s="91"/>
      <c r="L53" s="91"/>
      <c r="M53" s="94"/>
      <c r="N53" s="99"/>
      <c r="O53" s="92"/>
      <c r="P53" s="100"/>
      <c r="R53" s="140"/>
      <c r="S53" s="160"/>
      <c r="T53" s="160"/>
      <c r="U53" s="142"/>
    </row>
  </sheetData>
  <pageMargins left="0.75" right="0.75" top="1" bottom="1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</vt:lpstr>
      <vt:lpstr>Summary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Lozinski</dc:creator>
  <cp:lastModifiedBy>Taylor Osmun</cp:lastModifiedBy>
  <dcterms:created xsi:type="dcterms:W3CDTF">2007-10-13T20:07:17Z</dcterms:created>
  <dcterms:modified xsi:type="dcterms:W3CDTF">2015-11-25T05:44:45Z</dcterms:modified>
</cp:coreProperties>
</file>