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520" windowHeight="9990" activeTab="3"/>
  </bookViews>
  <sheets>
    <sheet name="JAN" sheetId="1" r:id="rId1"/>
    <sheet name="FEB" sheetId="2" r:id="rId2"/>
    <sheet name="MAR" sheetId="3" r:id="rId3"/>
    <sheet name="APR" sheetId="4" r:id="rId4"/>
    <sheet name="MAY" sheetId="5" r:id="rId5"/>
    <sheet name="JUN" sheetId="6" r:id="rId6"/>
    <sheet name="JUL" sheetId="7" r:id="rId7"/>
    <sheet name="AUG" sheetId="8" r:id="rId8"/>
    <sheet name="SEP" sheetId="9" r:id="rId9"/>
    <sheet name="OCT" sheetId="10" r:id="rId10"/>
    <sheet name="NOV" sheetId="11" r:id="rId11"/>
    <sheet name="DEC" sheetId="12" r:id="rId12"/>
    <sheet name="Year Summary" sheetId="13" r:id="rId13"/>
    <sheet name="SR-SS" sheetId="14" r:id="rId14"/>
    <sheet name="Past" sheetId="15" r:id="rId15"/>
  </sheets>
  <definedNames>
    <definedName name="_xlnm.Print_Area" localSheetId="0">JAN!$A$1:$T$12</definedName>
    <definedName name="_xlnm.Print_Area" localSheetId="1">FEB!$A$1:$T$8</definedName>
    <definedName name="_xlnm.Print_Area" localSheetId="2">MAR!$A$1:$T$6</definedName>
    <definedName name="_xlnm.Print_Area" localSheetId="3">APR!$A$1:$T$22</definedName>
    <definedName name="_xlnm.Print_Area" localSheetId="4">MAY!$A$1:$T$33</definedName>
    <definedName name="_xlnm.Print_Area" localSheetId="5">JUN!$A$1:$T$32</definedName>
    <definedName name="_xlnm.Print_Area" localSheetId="6">JUL!$A$1:$T$33</definedName>
    <definedName name="_xlnm.Print_Area" localSheetId="7">AUG!$A$1:$T$33</definedName>
    <definedName name="_xlnm.Print_Area" localSheetId="8">SEP!$A$1:$T$32</definedName>
    <definedName name="_xlnm.Print_Area" localSheetId="9">OCT!$A$1:$T$33</definedName>
    <definedName name="_xlnm.Print_Area" localSheetId="10">NOV!$A$1:$T$32</definedName>
    <definedName name="_xlnm.Print_Area" localSheetId="11">DEC!$A$1:$T$33</definedName>
  </definedNames>
  <calcPr calcId="144525"/>
</workbook>
</file>

<file path=xl/sharedStrings.xml><?xml version="1.0" encoding="utf-8"?>
<sst xmlns="http://schemas.openxmlformats.org/spreadsheetml/2006/main" count="1199" uniqueCount="384">
  <si>
    <t>DoF</t>
  </si>
  <si>
    <t>Mission</t>
  </si>
  <si>
    <t>Aircraft Type</t>
  </si>
  <si>
    <t>Tail Number</t>
  </si>
  <si>
    <t>Departure</t>
  </si>
  <si>
    <t>Arrival</t>
  </si>
  <si>
    <t>Crew</t>
  </si>
  <si>
    <t>Role</t>
  </si>
  <si>
    <t>Startup</t>
  </si>
  <si>
    <t>Shutdown</t>
  </si>
  <si>
    <t>Flight Duration</t>
  </si>
  <si>
    <t>Day Duration</t>
  </si>
  <si>
    <t>Night Duration</t>
  </si>
  <si>
    <t>NVG Duration</t>
  </si>
  <si>
    <t>Simulated IFR</t>
  </si>
  <si>
    <t>Real IFR</t>
  </si>
  <si>
    <t>Takeoffs</t>
  </si>
  <si>
    <t>Landings</t>
  </si>
  <si>
    <t>Inst. Apps</t>
  </si>
  <si>
    <t>Comments</t>
  </si>
  <si>
    <t>Night Start</t>
  </si>
  <si>
    <t>Night End</t>
  </si>
  <si>
    <t>AGI</t>
  </si>
  <si>
    <t>AB205</t>
  </si>
  <si>
    <t>L711</t>
  </si>
  <si>
    <t>BAK</t>
  </si>
  <si>
    <t>265 + 308</t>
  </si>
  <si>
    <t>CP</t>
  </si>
  <si>
    <t>TRACKING EX. - 52</t>
  </si>
  <si>
    <t>MTF</t>
  </si>
  <si>
    <t>L705</t>
  </si>
  <si>
    <t>238 + 308</t>
  </si>
  <si>
    <t>LINK</t>
  </si>
  <si>
    <t>ELBATEN</t>
  </si>
  <si>
    <t>98 + 308</t>
  </si>
  <si>
    <t>REFUEL</t>
  </si>
  <si>
    <t>KASS</t>
  </si>
  <si>
    <t>NVG</t>
  </si>
  <si>
    <t>162 + 308</t>
  </si>
  <si>
    <t>Summary</t>
  </si>
  <si>
    <t>TAS</t>
  </si>
  <si>
    <t>DTTG</t>
  </si>
  <si>
    <t>QUALIF TAS</t>
  </si>
  <si>
    <t>NTAS</t>
  </si>
  <si>
    <t>TAC</t>
  </si>
  <si>
    <t>234 + 308</t>
  </si>
  <si>
    <t>IFR</t>
  </si>
  <si>
    <t>ILS RWY 26 DTTB</t>
  </si>
  <si>
    <t>306 + 308</t>
  </si>
  <si>
    <t>Currency</t>
  </si>
  <si>
    <t>CASEVAC EX. - RICA</t>
  </si>
  <si>
    <t>EP</t>
  </si>
  <si>
    <t>ENGINE FAILURE HOVER+T/O;RUNNING LANDING</t>
  </si>
  <si>
    <t>Day</t>
  </si>
  <si>
    <t>Night</t>
  </si>
  <si>
    <t>Year</t>
  </si>
  <si>
    <t>Total</t>
  </si>
  <si>
    <t>HELO</t>
  </si>
  <si>
    <t>AS350</t>
  </si>
  <si>
    <t>SF260</t>
  </si>
  <si>
    <t>Date</t>
  </si>
  <si>
    <t>Sunrise</t>
  </si>
  <si>
    <t>Sunset</t>
  </si>
  <si>
    <t>07:34</t>
  </si>
  <si>
    <t>17:13</t>
  </si>
  <si>
    <t>07:35</t>
  </si>
  <si>
    <t>17:14</t>
  </si>
  <si>
    <t>17:15</t>
  </si>
  <si>
    <t>17:16</t>
  </si>
  <si>
    <t>17:17</t>
  </si>
  <si>
    <t>17:18</t>
  </si>
  <si>
    <t>17:19</t>
  </si>
  <si>
    <t>17:20</t>
  </si>
  <si>
    <t>17:21</t>
  </si>
  <si>
    <t>17:22</t>
  </si>
  <si>
    <t>17:23</t>
  </si>
  <si>
    <t>17:24</t>
  </si>
  <si>
    <t>17:25</t>
  </si>
  <si>
    <t>07:33</t>
  </si>
  <si>
    <t>17:26</t>
  </si>
  <si>
    <t>17:27</t>
  </si>
  <si>
    <t>17:28</t>
  </si>
  <si>
    <t>07:32</t>
  </si>
  <si>
    <t>17:29</t>
  </si>
  <si>
    <t>17:31</t>
  </si>
  <si>
    <t>07:31</t>
  </si>
  <si>
    <t>17:32</t>
  </si>
  <si>
    <t>17:33</t>
  </si>
  <si>
    <t>07:30</t>
  </si>
  <si>
    <t>17:34</t>
  </si>
  <si>
    <t>17:35</t>
  </si>
  <si>
    <t>07:29</t>
  </si>
  <si>
    <t>17:36</t>
  </si>
  <si>
    <t>07:28</t>
  </si>
  <si>
    <t>17:37</t>
  </si>
  <si>
    <t>17:38</t>
  </si>
  <si>
    <t>07:27</t>
  </si>
  <si>
    <t>17:39</t>
  </si>
  <si>
    <t>07:26</t>
  </si>
  <si>
    <t>17:40</t>
  </si>
  <si>
    <t>17:41</t>
  </si>
  <si>
    <t>07:25</t>
  </si>
  <si>
    <t>17:42</t>
  </si>
  <si>
    <t>07:24</t>
  </si>
  <si>
    <t>17:44</t>
  </si>
  <si>
    <t>07:23</t>
  </si>
  <si>
    <t>17:45</t>
  </si>
  <si>
    <t>07:22</t>
  </si>
  <si>
    <t>17:46</t>
  </si>
  <si>
    <t>17:47</t>
  </si>
  <si>
    <t>07:21</t>
  </si>
  <si>
    <t>17:48</t>
  </si>
  <si>
    <t>07:20</t>
  </si>
  <si>
    <t>17:49</t>
  </si>
  <si>
    <t>07:19</t>
  </si>
  <si>
    <t>17:50</t>
  </si>
  <si>
    <t>07:18</t>
  </si>
  <si>
    <t>17:51</t>
  </si>
  <si>
    <t>07:17</t>
  </si>
  <si>
    <t>17:52</t>
  </si>
  <si>
    <t>07:16</t>
  </si>
  <si>
    <t>17:53</t>
  </si>
  <si>
    <t>07:15</t>
  </si>
  <si>
    <t>17:55</t>
  </si>
  <si>
    <t>07:14</t>
  </si>
  <si>
    <t>17:56</t>
  </si>
  <si>
    <t>07:13</t>
  </si>
  <si>
    <t>17:57</t>
  </si>
  <si>
    <t>07:12</t>
  </si>
  <si>
    <t>17:58</t>
  </si>
  <si>
    <t>07:10</t>
  </si>
  <si>
    <t>17:59</t>
  </si>
  <si>
    <t>07:09</t>
  </si>
  <si>
    <t>18:00</t>
  </si>
  <si>
    <t>07:08</t>
  </si>
  <si>
    <t>18:01</t>
  </si>
  <si>
    <t>07:07</t>
  </si>
  <si>
    <t>18:02</t>
  </si>
  <si>
    <t>07:06</t>
  </si>
  <si>
    <t>18:03</t>
  </si>
  <si>
    <t>07:04</t>
  </si>
  <si>
    <t>18:04</t>
  </si>
  <si>
    <t>07:03</t>
  </si>
  <si>
    <t>18:05</t>
  </si>
  <si>
    <t>07:02</t>
  </si>
  <si>
    <t>18:06</t>
  </si>
  <si>
    <t>07:01</t>
  </si>
  <si>
    <t>18:07</t>
  </si>
  <si>
    <t>06:59</t>
  </si>
  <si>
    <t>18:08</t>
  </si>
  <si>
    <t>06:58</t>
  </si>
  <si>
    <t>18:09</t>
  </si>
  <si>
    <t>06:57</t>
  </si>
  <si>
    <t>18:10</t>
  </si>
  <si>
    <t>06:55</t>
  </si>
  <si>
    <t>18:11</t>
  </si>
  <si>
    <t>06:54</t>
  </si>
  <si>
    <t>18:12</t>
  </si>
  <si>
    <t>06:53</t>
  </si>
  <si>
    <t>18:13</t>
  </si>
  <si>
    <t>06:51</t>
  </si>
  <si>
    <t>18:14</t>
  </si>
  <si>
    <t>06:50</t>
  </si>
  <si>
    <t>18:15</t>
  </si>
  <si>
    <t>06:49</t>
  </si>
  <si>
    <t>18:16</t>
  </si>
  <si>
    <t>06:47</t>
  </si>
  <si>
    <t>18:17</t>
  </si>
  <si>
    <t>06:46</t>
  </si>
  <si>
    <t>18:18</t>
  </si>
  <si>
    <t>06:44</t>
  </si>
  <si>
    <t>18:19</t>
  </si>
  <si>
    <t>06:43</t>
  </si>
  <si>
    <t>18:20</t>
  </si>
  <si>
    <t>06:42</t>
  </si>
  <si>
    <t>18:21</t>
  </si>
  <si>
    <t>06:40</t>
  </si>
  <si>
    <t>18:22</t>
  </si>
  <si>
    <t>06:39</t>
  </si>
  <si>
    <t>18:23</t>
  </si>
  <si>
    <t>06:37</t>
  </si>
  <si>
    <t>18:24</t>
  </si>
  <si>
    <t>06:36</t>
  </si>
  <si>
    <t>18:25</t>
  </si>
  <si>
    <t>06:34</t>
  </si>
  <si>
    <t>06:33</t>
  </si>
  <si>
    <t>18:26</t>
  </si>
  <si>
    <t>06:31</t>
  </si>
  <si>
    <t>18:27</t>
  </si>
  <si>
    <t>06:30</t>
  </si>
  <si>
    <t>18:28</t>
  </si>
  <si>
    <t>06:28</t>
  </si>
  <si>
    <t>18:29</t>
  </si>
  <si>
    <t>06:27</t>
  </si>
  <si>
    <t>18:30</t>
  </si>
  <si>
    <t>06:25</t>
  </si>
  <si>
    <t>18:31</t>
  </si>
  <si>
    <t>06:24</t>
  </si>
  <si>
    <t>18:32</t>
  </si>
  <si>
    <t>06:22</t>
  </si>
  <si>
    <t>18:33</t>
  </si>
  <si>
    <t>06:21</t>
  </si>
  <si>
    <t>18:34</t>
  </si>
  <si>
    <t>06:19</t>
  </si>
  <si>
    <t>18:35</t>
  </si>
  <si>
    <t>06:18</t>
  </si>
  <si>
    <t>06:16</t>
  </si>
  <si>
    <t>18:36</t>
  </si>
  <si>
    <t>06:15</t>
  </si>
  <si>
    <t>18:37</t>
  </si>
  <si>
    <t>06:13</t>
  </si>
  <si>
    <t>18:38</t>
  </si>
  <si>
    <t>06:12</t>
  </si>
  <si>
    <t>18:39</t>
  </si>
  <si>
    <t>06:10</t>
  </si>
  <si>
    <t>18:40</t>
  </si>
  <si>
    <t>06:09</t>
  </si>
  <si>
    <t>18:41</t>
  </si>
  <si>
    <t>06:07</t>
  </si>
  <si>
    <t>18:42</t>
  </si>
  <si>
    <t>06:06</t>
  </si>
  <si>
    <t>18:43</t>
  </si>
  <si>
    <t>06:04</t>
  </si>
  <si>
    <t>18:44</t>
  </si>
  <si>
    <t>06:03</t>
  </si>
  <si>
    <t>06:01</t>
  </si>
  <si>
    <t>18:45</t>
  </si>
  <si>
    <t>06:00</t>
  </si>
  <si>
    <t>18:46</t>
  </si>
  <si>
    <t>05:59</t>
  </si>
  <si>
    <t>18:47</t>
  </si>
  <si>
    <t>05:57</t>
  </si>
  <si>
    <t>18:48</t>
  </si>
  <si>
    <t>05:56</t>
  </si>
  <si>
    <t>18:49</t>
  </si>
  <si>
    <t>05:54</t>
  </si>
  <si>
    <t>18:50</t>
  </si>
  <si>
    <t>05:53</t>
  </si>
  <si>
    <t>18:51</t>
  </si>
  <si>
    <t>05:51</t>
  </si>
  <si>
    <t>18:52</t>
  </si>
  <si>
    <t>05:50</t>
  </si>
  <si>
    <t>05:49</t>
  </si>
  <si>
    <t>18:53</t>
  </si>
  <si>
    <t>05:47</t>
  </si>
  <si>
    <t>18:54</t>
  </si>
  <si>
    <t>05:46</t>
  </si>
  <si>
    <t>18:55</t>
  </si>
  <si>
    <t>05:44</t>
  </si>
  <si>
    <t>18:56</t>
  </si>
  <si>
    <t>05:43</t>
  </si>
  <si>
    <t>18:57</t>
  </si>
  <si>
    <t>05:42</t>
  </si>
  <si>
    <t>18:58</t>
  </si>
  <si>
    <t>05:40</t>
  </si>
  <si>
    <t>18:59</t>
  </si>
  <si>
    <t>05:39</t>
  </si>
  <si>
    <t>19:00</t>
  </si>
  <si>
    <t>05:38</t>
  </si>
  <si>
    <t>19:01</t>
  </si>
  <si>
    <t>05:36</t>
  </si>
  <si>
    <t>05:35</t>
  </si>
  <si>
    <t>19:02</t>
  </si>
  <si>
    <t>05:34</t>
  </si>
  <si>
    <t>19:03</t>
  </si>
  <si>
    <t>05:33</t>
  </si>
  <si>
    <t>19:04</t>
  </si>
  <si>
    <t>05:31</t>
  </si>
  <si>
    <t>19:05</t>
  </si>
  <si>
    <t>05:30</t>
  </si>
  <si>
    <t>19:06</t>
  </si>
  <si>
    <t>05:29</t>
  </si>
  <si>
    <t>19:07</t>
  </si>
  <si>
    <t>05:28</t>
  </si>
  <si>
    <t>19:08</t>
  </si>
  <si>
    <t>05:27</t>
  </si>
  <si>
    <t>19:09</t>
  </si>
  <si>
    <t>05:26</t>
  </si>
  <si>
    <t>19:10</t>
  </si>
  <si>
    <t>05:24</t>
  </si>
  <si>
    <t>05:23</t>
  </si>
  <si>
    <t>19:11</t>
  </si>
  <si>
    <t>05:22</t>
  </si>
  <si>
    <t>19:12</t>
  </si>
  <si>
    <t>05:21</t>
  </si>
  <si>
    <t>19:13</t>
  </si>
  <si>
    <t>05:20</t>
  </si>
  <si>
    <t>19:14</t>
  </si>
  <si>
    <t>05:19</t>
  </si>
  <si>
    <t>19:15</t>
  </si>
  <si>
    <t>05:18</t>
  </si>
  <si>
    <t>19:16</t>
  </si>
  <si>
    <t>05:17</t>
  </si>
  <si>
    <t>19:17</t>
  </si>
  <si>
    <t>05:16</t>
  </si>
  <si>
    <t>19:18</t>
  </si>
  <si>
    <t>05:15</t>
  </si>
  <si>
    <t>05:14</t>
  </si>
  <si>
    <t>19:19</t>
  </si>
  <si>
    <t>05:13</t>
  </si>
  <si>
    <t>19:20</t>
  </si>
  <si>
    <t>19:21</t>
  </si>
  <si>
    <t>05:12</t>
  </si>
  <si>
    <t>19:22</t>
  </si>
  <si>
    <t>05:11</t>
  </si>
  <si>
    <t>19:23</t>
  </si>
  <si>
    <t>05:10</t>
  </si>
  <si>
    <t>19:24</t>
  </si>
  <si>
    <t>05:09</t>
  </si>
  <si>
    <t>19:25</t>
  </si>
  <si>
    <t>05:08</t>
  </si>
  <si>
    <t>19:26</t>
  </si>
  <si>
    <t>05:07</t>
  </si>
  <si>
    <t>19:27</t>
  </si>
  <si>
    <t>19:28</t>
  </si>
  <si>
    <t>05:06</t>
  </si>
  <si>
    <t>05:05</t>
  </si>
  <si>
    <t>19:29</t>
  </si>
  <si>
    <t>19:30</t>
  </si>
  <si>
    <t>05:04</t>
  </si>
  <si>
    <t>19:31</t>
  </si>
  <si>
    <t>05:03</t>
  </si>
  <si>
    <t>19:32</t>
  </si>
  <si>
    <t>19:33</t>
  </si>
  <si>
    <t>05:02</t>
  </si>
  <si>
    <t>19:34</t>
  </si>
  <si>
    <t>19:35</t>
  </si>
  <si>
    <t>05:01</t>
  </si>
  <si>
    <t>19:36</t>
  </si>
  <si>
    <t>19:37</t>
  </si>
  <si>
    <t>05:00</t>
  </si>
  <si>
    <t>19:38</t>
  </si>
  <si>
    <t>19:39</t>
  </si>
  <si>
    <t>19:40</t>
  </si>
  <si>
    <t>19:41</t>
  </si>
  <si>
    <t>19:42</t>
  </si>
  <si>
    <t>19:43</t>
  </si>
  <si>
    <t>19:44</t>
  </si>
  <si>
    <t>05:25</t>
  </si>
  <si>
    <t>05:32</t>
  </si>
  <si>
    <t>05:37</t>
  </si>
  <si>
    <t>05:41</t>
  </si>
  <si>
    <t>05:45</t>
  </si>
  <si>
    <t>05:48</t>
  </si>
  <si>
    <t>05:52</t>
  </si>
  <si>
    <t>05:55</t>
  </si>
  <si>
    <t>05:58</t>
  </si>
  <si>
    <t>06:02</t>
  </si>
  <si>
    <t>06:05</t>
  </si>
  <si>
    <t>06:08</t>
  </si>
  <si>
    <t>06:11</t>
  </si>
  <si>
    <t>06:14</t>
  </si>
  <si>
    <t>06:17</t>
  </si>
  <si>
    <t>06:20</t>
  </si>
  <si>
    <t>17:54</t>
  </si>
  <si>
    <t>06:23</t>
  </si>
  <si>
    <t>06:26</t>
  </si>
  <si>
    <t>17:43</t>
  </si>
  <si>
    <t>06:29</t>
  </si>
  <si>
    <t>06:32</t>
  </si>
  <si>
    <t>06:35</t>
  </si>
  <si>
    <t>06:38</t>
  </si>
  <si>
    <t>17:30</t>
  </si>
  <si>
    <t>06:41</t>
  </si>
  <si>
    <t>06:45</t>
  </si>
  <si>
    <t>06:48</t>
  </si>
  <si>
    <t>06:52</t>
  </si>
  <si>
    <t>06:56</t>
  </si>
  <si>
    <t>17:12</t>
  </si>
  <si>
    <t>17:11</t>
  </si>
  <si>
    <t>17:10</t>
  </si>
  <si>
    <t>07:00</t>
  </si>
  <si>
    <t>17:09</t>
  </si>
  <si>
    <t>17:08</t>
  </si>
  <si>
    <t>17:07</t>
  </si>
  <si>
    <t>07:05</t>
  </si>
  <si>
    <t>17:06</t>
  </si>
  <si>
    <t>17:05</t>
  </si>
  <si>
    <t>17:04</t>
  </si>
  <si>
    <t>07:11</t>
  </si>
  <si>
    <t>17:03</t>
  </si>
  <si>
    <t>17:02</t>
  </si>
  <si>
    <t>TFT TOTAL</t>
  </si>
  <si>
    <t>NIGHT</t>
  </si>
</sst>
</file>

<file path=xl/styles.xml><?xml version="1.0" encoding="utf-8"?>
<styleSheet xmlns="http://schemas.openxmlformats.org/spreadsheetml/2006/main">
  <numFmts count="8">
    <numFmt numFmtId="176" formatCode="0;[Red]0"/>
    <numFmt numFmtId="177" formatCode="[hh]:mm"/>
    <numFmt numFmtId="178" formatCode="_ * #,##0_ ;_ * \-#,##0_ ;_ * &quot;-&quot;_ ;_ @_ "/>
    <numFmt numFmtId="179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80" formatCode="yyyy\-mm\-dd"/>
    <numFmt numFmtId="181" formatCode="[h]:mm"/>
  </numFmts>
  <fonts count="20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indexed="4"/>
      <name val="Calibri"/>
      <charset val="134"/>
      <scheme val="minor"/>
    </font>
    <font>
      <u/>
      <sz val="11"/>
      <color indexed="20"/>
      <name val="Calibri"/>
      <charset val="134"/>
      <scheme val="minor"/>
    </font>
    <font>
      <sz val="11"/>
      <color indexed="2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indexed="65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7" tint="0.599993896298105"/>
        <bgColor indexed="64"/>
      </patternFill>
    </fill>
  </fills>
  <borders count="15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9" fillId="28" borderId="0" applyNumberFormat="0" applyBorder="0" applyProtection="0">
      <alignment vertical="center"/>
    </xf>
    <xf numFmtId="0" fontId="0" fillId="5" borderId="0" applyNumberFormat="0" applyBorder="0" applyProtection="0">
      <alignment vertical="center"/>
    </xf>
    <xf numFmtId="0" fontId="9" fillId="24" borderId="0" applyNumberFormat="0" applyBorder="0" applyProtection="0">
      <alignment vertical="center"/>
    </xf>
    <xf numFmtId="0" fontId="9" fillId="22" borderId="0" applyNumberFormat="0" applyBorder="0" applyProtection="0">
      <alignment vertical="center"/>
    </xf>
    <xf numFmtId="0" fontId="0" fillId="31" borderId="0" applyNumberFormat="0" applyBorder="0" applyProtection="0">
      <alignment vertical="center"/>
    </xf>
    <xf numFmtId="0" fontId="0" fillId="30" borderId="0" applyNumberFormat="0" applyBorder="0" applyProtection="0">
      <alignment vertical="center"/>
    </xf>
    <xf numFmtId="0" fontId="9" fillId="12" borderId="0" applyNumberFormat="0" applyBorder="0" applyProtection="0">
      <alignment vertical="center"/>
    </xf>
    <xf numFmtId="0" fontId="9" fillId="17" borderId="0" applyNumberFormat="0" applyBorder="0" applyProtection="0">
      <alignment vertical="center"/>
    </xf>
    <xf numFmtId="0" fontId="0" fillId="35" borderId="0" applyNumberFormat="0" applyBorder="0" applyProtection="0">
      <alignment vertical="center"/>
    </xf>
    <xf numFmtId="0" fontId="9" fillId="26" borderId="0" applyNumberFormat="0" applyBorder="0" applyProtection="0">
      <alignment vertical="center"/>
    </xf>
    <xf numFmtId="0" fontId="18" fillId="0" borderId="12" applyNumberFormat="0" applyFill="0" applyProtection="0">
      <alignment vertical="center"/>
    </xf>
    <xf numFmtId="0" fontId="0" fillId="23" borderId="0" applyNumberFormat="0" applyBorder="0" applyProtection="0">
      <alignment vertical="center"/>
    </xf>
    <xf numFmtId="0" fontId="9" fillId="19" borderId="0" applyNumberFormat="0" applyBorder="0" applyProtection="0">
      <alignment vertical="center"/>
    </xf>
    <xf numFmtId="0" fontId="9" fillId="8" borderId="0" applyNumberFormat="0" applyBorder="0" applyProtection="0">
      <alignment vertical="center"/>
    </xf>
    <xf numFmtId="0" fontId="0" fillId="7" borderId="0" applyNumberFormat="0" applyBorder="0" applyProtection="0">
      <alignment vertical="center"/>
    </xf>
    <xf numFmtId="0" fontId="0" fillId="29" borderId="0" applyNumberFormat="0" applyBorder="0" applyProtection="0">
      <alignment vertical="center"/>
    </xf>
    <xf numFmtId="0" fontId="9" fillId="32" borderId="0" applyNumberFormat="0" applyBorder="0" applyProtection="0">
      <alignment vertical="center"/>
    </xf>
    <xf numFmtId="0" fontId="0" fillId="15" borderId="0" applyNumberFormat="0" applyBorder="0" applyProtection="0">
      <alignment vertical="center"/>
    </xf>
    <xf numFmtId="0" fontId="0" fillId="6" borderId="0" applyNumberFormat="0" applyBorder="0" applyProtection="0">
      <alignment vertical="center"/>
    </xf>
    <xf numFmtId="0" fontId="9" fillId="16" borderId="0" applyNumberFormat="0" applyBorder="0" applyProtection="0">
      <alignment vertical="center"/>
    </xf>
    <xf numFmtId="0" fontId="12" fillId="21" borderId="0" applyNumberFormat="0" applyBorder="0" applyProtection="0">
      <alignment vertical="center"/>
    </xf>
    <xf numFmtId="0" fontId="9" fillId="14" borderId="0" applyNumberFormat="0" applyBorder="0" applyProtection="0">
      <alignment vertical="center"/>
    </xf>
    <xf numFmtId="0" fontId="11" fillId="10" borderId="0" applyNumberFormat="0" applyBorder="0" applyProtection="0">
      <alignment vertical="center"/>
    </xf>
    <xf numFmtId="0" fontId="0" fillId="13" borderId="0" applyNumberFormat="0" applyBorder="0" applyProtection="0">
      <alignment vertical="center"/>
    </xf>
    <xf numFmtId="0" fontId="1" fillId="0" borderId="9" applyNumberFormat="0" applyFill="0" applyProtection="0">
      <alignment vertical="center"/>
    </xf>
    <xf numFmtId="0" fontId="17" fillId="9" borderId="11" applyNumberFormat="0" applyProtection="0">
      <alignment vertical="center"/>
    </xf>
    <xf numFmtId="44" fontId="0" fillId="0" borderId="0" applyFont="0" applyFill="0" applyBorder="0" applyProtection="0">
      <alignment vertical="center"/>
    </xf>
    <xf numFmtId="0" fontId="0" fillId="20" borderId="0" applyNumberFormat="0" applyBorder="0" applyProtection="0">
      <alignment vertical="center"/>
    </xf>
    <xf numFmtId="0" fontId="0" fillId="34" borderId="14" applyNumberFormat="0" applyFont="0" applyProtection="0">
      <alignment vertical="center"/>
    </xf>
    <xf numFmtId="0" fontId="13" fillId="25" borderId="8" applyNumberFormat="0" applyProtection="0">
      <alignment vertical="center"/>
    </xf>
    <xf numFmtId="0" fontId="16" fillId="0" borderId="0" applyNumberFormat="0" applyFill="0" applyBorder="0" applyProtection="0">
      <alignment vertical="center"/>
    </xf>
    <xf numFmtId="0" fontId="10" fillId="9" borderId="8" applyNumberFormat="0" applyProtection="0">
      <alignment vertical="center"/>
    </xf>
    <xf numFmtId="0" fontId="14" fillId="27" borderId="0" applyNumberFormat="0" applyBorder="0" applyProtection="0">
      <alignment vertical="center"/>
    </xf>
    <xf numFmtId="0" fontId="16" fillId="0" borderId="10" applyNumberFormat="0" applyFill="0" applyProtection="0">
      <alignment vertical="center"/>
    </xf>
    <xf numFmtId="0" fontId="7" fillId="0" borderId="0" applyNumberFormat="0" applyFill="0" applyBorder="0" applyProtection="0">
      <alignment vertical="center"/>
    </xf>
    <xf numFmtId="0" fontId="8" fillId="0" borderId="7" applyNumberFormat="0" applyFill="0" applyProtection="0">
      <alignment vertical="center"/>
    </xf>
    <xf numFmtId="178" fontId="0" fillId="0" borderId="0" applyFont="0" applyFill="0" applyBorder="0" applyProtection="0">
      <alignment vertical="center"/>
    </xf>
    <xf numFmtId="0" fontId="0" fillId="18" borderId="0" applyNumberFormat="0" applyBorder="0" applyProtection="0">
      <alignment vertical="center"/>
    </xf>
    <xf numFmtId="0" fontId="6" fillId="0" borderId="0" applyNumberFormat="0" applyFill="0" applyBorder="0" applyProtection="0">
      <alignment vertical="center"/>
    </xf>
    <xf numFmtId="42" fontId="0" fillId="0" borderId="0" applyFont="0" applyFill="0" applyBorder="0" applyProtection="0">
      <alignment vertical="center"/>
    </xf>
    <xf numFmtId="0" fontId="5" fillId="0" borderId="0" applyNumberFormat="0" applyFill="0" applyBorder="0" applyProtection="0">
      <alignment vertical="center"/>
    </xf>
    <xf numFmtId="0" fontId="4" fillId="0" borderId="0" applyNumberFormat="0" applyFill="0" applyBorder="0" applyProtection="0">
      <alignment vertical="center"/>
    </xf>
    <xf numFmtId="0" fontId="15" fillId="0" borderId="7" applyNumberFormat="0" applyFill="0" applyProtection="0">
      <alignment vertical="center"/>
    </xf>
    <xf numFmtId="179" fontId="0" fillId="0" borderId="0" applyFont="0" applyFill="0" applyBorder="0" applyProtection="0">
      <alignment vertical="center"/>
    </xf>
    <xf numFmtId="0" fontId="19" fillId="33" borderId="13" applyNumberFormat="0" applyProtection="0">
      <alignment vertical="center"/>
    </xf>
    <xf numFmtId="0" fontId="9" fillId="11" borderId="0" applyNumberFormat="0" applyBorder="0" applyProtection="0">
      <alignment vertical="center"/>
    </xf>
    <xf numFmtId="9" fontId="0" fillId="0" borderId="0" applyFont="0" applyFill="0" applyBorder="0" applyProtection="0">
      <alignment vertical="center"/>
    </xf>
    <xf numFmtId="0" fontId="3" fillId="0" borderId="0" applyNumberFormat="0" applyFill="0" applyBorder="0" applyProtection="0">
      <alignment vertical="center"/>
    </xf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80" fontId="2" fillId="2" borderId="3" xfId="0" applyNumberFormat="1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20" fontId="0" fillId="3" borderId="4" xfId="0" applyNumberFormat="1" applyFill="1" applyBorder="1" applyAlignment="1">
      <alignment horizontal="center" vertical="center"/>
    </xf>
    <xf numFmtId="181" fontId="0" fillId="3" borderId="4" xfId="0" applyNumberFormat="1" applyFill="1" applyBorder="1" applyAlignment="1">
      <alignment horizontal="center" vertical="center"/>
    </xf>
    <xf numFmtId="20" fontId="0" fillId="4" borderId="4" xfId="0" applyNumberFormat="1" applyFill="1" applyBorder="1" applyAlignment="1">
      <alignment horizontal="center" vertical="center"/>
    </xf>
    <xf numFmtId="181" fontId="0" fillId="4" borderId="4" xfId="0" applyNumberForma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176" fontId="0" fillId="3" borderId="4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176" fontId="0" fillId="4" borderId="4" xfId="0" applyNumberFormat="1" applyFill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displayName="Table5" ref="A1:T12" totalsRowCount="1">
  <autoFilter ref="A1:T11">
    <filterColumn colId="0">
      <filters>
        <dateGroupItem year="2025" dateTimeGrouping="year"/>
      </filters>
    </filterColumn>
  </autoFilter>
  <tableColumns count="20">
    <tableColumn id="1" name="DoF" totalsRowLabel="Summary"/>
    <tableColumn id="2" name="Mission"/>
    <tableColumn id="3" name="Aircraft Type"/>
    <tableColumn id="4" name="Tail Number"/>
    <tableColumn id="5" name="Departure"/>
    <tableColumn id="6" name="Arrival"/>
    <tableColumn id="7" name="Crew"/>
    <tableColumn id="8" name="Role"/>
    <tableColumn id="9" name="Startup"/>
    <tableColumn id="10" name="Shutdown"/>
    <tableColumn id="11" name="Flight Duration" totalsRowFunction="custom">
      <totalsRowFormula>SUM(Table5[Flight Duration])</totalsRowFormula>
    </tableColumn>
    <tableColumn id="12" name="Day Duration" totalsRowFunction="custom">
      <totalsRowFormula>SUM(Table5[Day Duration])</totalsRowFormula>
    </tableColumn>
    <tableColumn id="13" name="Night Duration" totalsRowFunction="custom">
      <totalsRowFormula>SUM(Table5[Night Duration])</totalsRowFormula>
    </tableColumn>
    <tableColumn id="14" name="NVG Duration" totalsRowFunction="custom">
      <totalsRowFormula>SUM(Table5[NVG Duration])</totalsRowFormula>
    </tableColumn>
    <tableColumn id="15" name="Simulated IFR" totalsRowFunction="custom">
      <totalsRowFormula>SUM(Table5[Simulated IFR])</totalsRowFormula>
    </tableColumn>
    <tableColumn id="16" name="Real IFR" totalsRowFunction="custom">
      <totalsRowFormula>SUM(Table5[Real IFR])</totalsRowFormula>
    </tableColumn>
    <tableColumn id="17" name="Takeoffs" totalsRowFunction="custom">
      <totalsRowFormula>SUM(Table5[Takeoffs])</totalsRowFormula>
    </tableColumn>
    <tableColumn id="18" name="Landings" totalsRowFunction="custom">
      <totalsRowFormula>SUM(Table5[Landings])</totalsRowFormula>
    </tableColumn>
    <tableColumn id="19" name="Inst. Apps" totalsRowFunction="custom">
      <totalsRowFormula>SUM(Table5[Inst. Apps])</totalsRowFormula>
    </tableColumn>
    <tableColumn id="20" name="Comments"/>
  </tableColumns>
  <tableStyleInfo name="TableStyleMedium9" showFirstColumn="1" showLastColumn="0" showRowStripes="1" showColumnStripes="0"/>
</table>
</file>

<file path=xl/tables/table10.xml><?xml version="1.0" encoding="utf-8"?>
<table xmlns="http://schemas.openxmlformats.org/spreadsheetml/2006/main" id="10" displayName="Table14" ref="A1:T33" totalsRowCount="1">
  <autoFilter ref="A1:T32">
    <filterColumn colId="0">
      <filters>
        <dateGroupItem year="2025" dateTimeGrouping="year"/>
      </filters>
    </filterColumn>
  </autoFilter>
  <tableColumns count="20">
    <tableColumn id="1" name="DoF" totalsRowLabel="Summary"/>
    <tableColumn id="2" name="Mission"/>
    <tableColumn id="3" name="Aircraft Type"/>
    <tableColumn id="4" name="Tail Number"/>
    <tableColumn id="5" name="Departure"/>
    <tableColumn id="6" name="Arrival"/>
    <tableColumn id="7" name="Crew"/>
    <tableColumn id="8" name="Role"/>
    <tableColumn id="9" name="Startup"/>
    <tableColumn id="10" name="Shutdown"/>
    <tableColumn id="11" name="Flight Duration" totalsRowFunction="custom">
      <totalsRowFormula>SUM(Table14[Flight Duration])</totalsRowFormula>
    </tableColumn>
    <tableColumn id="12" name="Day Duration" totalsRowFunction="custom">
      <totalsRowFormula>SUM(Table14[Day Duration])</totalsRowFormula>
    </tableColumn>
    <tableColumn id="13" name="Night Duration" totalsRowFunction="custom">
      <totalsRowFormula>SUM(Table14[Night Duration])</totalsRowFormula>
    </tableColumn>
    <tableColumn id="14" name="NVG Duration" totalsRowFunction="custom">
      <totalsRowFormula>SUM(Table14[NVG Duration])</totalsRowFormula>
    </tableColumn>
    <tableColumn id="15" name="Simulated IFR" totalsRowFunction="custom">
      <totalsRowFormula>SUM(Table14[Simulated IFR])</totalsRowFormula>
    </tableColumn>
    <tableColumn id="16" name="Real IFR" totalsRowFunction="custom">
      <totalsRowFormula>SUM(Table14[Real IFR])</totalsRowFormula>
    </tableColumn>
    <tableColumn id="17" name="Takeoffs" totalsRowFunction="custom">
      <totalsRowFormula>SUM(Table14[Takeoffs])</totalsRowFormula>
    </tableColumn>
    <tableColumn id="18" name="Landings" totalsRowFunction="custom">
      <totalsRowFormula>SUM(Table14[Landings])</totalsRowFormula>
    </tableColumn>
    <tableColumn id="19" name="Inst. Apps" totalsRowFunction="custom">
      <totalsRowFormula>SUM(Table14[Inst. Apps])</totalsRowFormula>
    </tableColumn>
    <tableColumn id="20" name="Comments"/>
  </tableColumns>
  <tableStyleInfo name="TableStyleMedium9" showFirstColumn="1" showLastColumn="0" showRowStripes="1" showColumnStripes="0"/>
</table>
</file>

<file path=xl/tables/table11.xml><?xml version="1.0" encoding="utf-8"?>
<table xmlns="http://schemas.openxmlformats.org/spreadsheetml/2006/main" id="11" displayName="Table15" ref="A1:T32" totalsRowCount="1">
  <autoFilter ref="A1:T31">
    <filterColumn colId="0">
      <filters>
        <dateGroupItem year="2025" dateTimeGrouping="year"/>
      </filters>
    </filterColumn>
  </autoFilter>
  <tableColumns count="20">
    <tableColumn id="1" name="DoF" totalsRowLabel="Summary"/>
    <tableColumn id="2" name="Mission"/>
    <tableColumn id="3" name="Aircraft Type"/>
    <tableColumn id="4" name="Tail Number"/>
    <tableColumn id="5" name="Departure"/>
    <tableColumn id="6" name="Arrival"/>
    <tableColumn id="7" name="Crew"/>
    <tableColumn id="8" name="Role"/>
    <tableColumn id="9" name="Startup"/>
    <tableColumn id="10" name="Shutdown"/>
    <tableColumn id="11" name="Flight Duration" totalsRowFunction="custom">
      <totalsRowFormula>SUM(Table15[Flight Duration])</totalsRowFormula>
    </tableColumn>
    <tableColumn id="12" name="Day Duration" totalsRowFunction="custom">
      <totalsRowFormula>SUM(Table15[Day Duration])</totalsRowFormula>
    </tableColumn>
    <tableColumn id="13" name="Night Duration" totalsRowFunction="custom">
      <totalsRowFormula>SUM(Table15[Night Duration])</totalsRowFormula>
    </tableColumn>
    <tableColumn id="14" name="NVG Duration" totalsRowFunction="custom">
      <totalsRowFormula>SUM(Table15[NVG Duration])</totalsRowFormula>
    </tableColumn>
    <tableColumn id="15" name="Simulated IFR" totalsRowFunction="custom">
      <totalsRowFormula>SUM(Table15[Simulated IFR])</totalsRowFormula>
    </tableColumn>
    <tableColumn id="16" name="Real IFR" totalsRowFunction="custom">
      <totalsRowFormula>SUM(Table15[Real IFR])</totalsRowFormula>
    </tableColumn>
    <tableColumn id="17" name="Takeoffs" totalsRowFunction="custom">
      <totalsRowFormula>SUM(Table15[Takeoffs])</totalsRowFormula>
    </tableColumn>
    <tableColumn id="18" name="Landings" totalsRowFunction="custom">
      <totalsRowFormula>SUM(Table15[Landings])</totalsRowFormula>
    </tableColumn>
    <tableColumn id="19" name="Inst. Apps" totalsRowFunction="custom">
      <totalsRowFormula>SUM(Table15[Inst. Apps])</totalsRowFormula>
    </tableColumn>
    <tableColumn id="20" name="Comments"/>
  </tableColumns>
  <tableStyleInfo name="TableStyleMedium9" showFirstColumn="1" showLastColumn="0" showRowStripes="1" showColumnStripes="0"/>
</table>
</file>

<file path=xl/tables/table12.xml><?xml version="1.0" encoding="utf-8"?>
<table xmlns="http://schemas.openxmlformats.org/spreadsheetml/2006/main" id="12" displayName="Table16" ref="A1:T33" totalsRowCount="1">
  <autoFilter ref="A1:T32">
    <filterColumn colId="0">
      <filters>
        <dateGroupItem year="2025" dateTimeGrouping="year"/>
      </filters>
    </filterColumn>
  </autoFilter>
  <tableColumns count="20">
    <tableColumn id="1" name="DoF" totalsRowLabel="Summary"/>
    <tableColumn id="2" name="Mission"/>
    <tableColumn id="3" name="Aircraft Type"/>
    <tableColumn id="4" name="Tail Number"/>
    <tableColumn id="5" name="Departure"/>
    <tableColumn id="6" name="Arrival"/>
    <tableColumn id="7" name="Crew"/>
    <tableColumn id="8" name="Role"/>
    <tableColumn id="9" name="Startup"/>
    <tableColumn id="10" name="Shutdown"/>
    <tableColumn id="11" name="Flight Duration" totalsRowFunction="custom">
      <totalsRowFormula>SUM(Table16[Flight Duration])</totalsRowFormula>
    </tableColumn>
    <tableColumn id="12" name="Day Duration" totalsRowFunction="custom">
      <totalsRowFormula>SUM(Table16[Day Duration])</totalsRowFormula>
    </tableColumn>
    <tableColumn id="13" name="Night Duration" totalsRowFunction="custom">
      <totalsRowFormula>SUM(Table16[Night Duration])</totalsRowFormula>
    </tableColumn>
    <tableColumn id="14" name="NVG Duration" totalsRowFunction="custom">
      <totalsRowFormula>SUM(Table16[NVG Duration])</totalsRowFormula>
    </tableColumn>
    <tableColumn id="15" name="Simulated IFR" totalsRowFunction="custom">
      <totalsRowFormula>SUM(Table16[Simulated IFR])</totalsRowFormula>
    </tableColumn>
    <tableColumn id="16" name="Real IFR" totalsRowFunction="custom">
      <totalsRowFormula>SUM(Table16[Real IFR])</totalsRowFormula>
    </tableColumn>
    <tableColumn id="17" name="Takeoffs" totalsRowFunction="custom">
      <totalsRowFormula>SUM(Table16[Takeoffs])</totalsRowFormula>
    </tableColumn>
    <tableColumn id="18" name="Landings" totalsRowFunction="custom">
      <totalsRowFormula>SUM(Table16[Landings])</totalsRowFormula>
    </tableColumn>
    <tableColumn id="19" name="Inst. Apps" totalsRowFunction="custom">
      <totalsRowFormula>SUM(Table16[Inst. Apps])</totalsRowFormula>
    </tableColumn>
    <tableColumn id="20" name="Comments"/>
  </tableColumns>
  <tableStyleInfo name="TableStyleMedium9" showFirstColumn="1" showLastColumn="0" showRowStripes="1" showColumnStripes="0"/>
</table>
</file>

<file path=xl/tables/table2.xml><?xml version="1.0" encoding="utf-8"?>
<table xmlns="http://schemas.openxmlformats.org/spreadsheetml/2006/main" id="2" displayName="Table6" ref="A1:T8" totalsRowCount="1">
  <autoFilter ref="A1:T7">
    <filterColumn colId="0">
      <filters>
        <dateGroupItem year="2025" dateTimeGrouping="year"/>
      </filters>
    </filterColumn>
  </autoFilter>
  <tableColumns count="20">
    <tableColumn id="1" name="DoF" totalsRowLabel="Summary"/>
    <tableColumn id="2" name="Mission"/>
    <tableColumn id="3" name="Aircraft Type"/>
    <tableColumn id="4" name="Tail Number"/>
    <tableColumn id="5" name="Departure"/>
    <tableColumn id="6" name="Arrival"/>
    <tableColumn id="7" name="Crew"/>
    <tableColumn id="8" name="Role"/>
    <tableColumn id="9" name="Startup"/>
    <tableColumn id="10" name="Shutdown"/>
    <tableColumn id="11" name="Flight Duration" totalsRowFunction="custom">
      <totalsRowFormula>SUM(Table6[Flight Duration])</totalsRowFormula>
    </tableColumn>
    <tableColumn id="12" name="Day Duration" totalsRowFunction="custom">
      <totalsRowFormula>SUM(Table6[Day Duration])</totalsRowFormula>
    </tableColumn>
    <tableColumn id="13" name="Night Duration" totalsRowFunction="custom">
      <totalsRowFormula>SUM(Table6[Night Duration])</totalsRowFormula>
    </tableColumn>
    <tableColumn id="14" name="NVG Duration" totalsRowFunction="custom">
      <totalsRowFormula>SUM(Table6[NVG Duration])</totalsRowFormula>
    </tableColumn>
    <tableColumn id="15" name="Simulated IFR" totalsRowFunction="custom">
      <totalsRowFormula>SUM(Table6[Simulated IFR])</totalsRowFormula>
    </tableColumn>
    <tableColumn id="16" name="Real IFR" totalsRowFunction="custom">
      <totalsRowFormula>SUM(Table6[Real IFR])</totalsRowFormula>
    </tableColumn>
    <tableColumn id="17" name="Takeoffs" totalsRowFunction="custom">
      <totalsRowFormula>SUM(Table6[Takeoffs])</totalsRowFormula>
    </tableColumn>
    <tableColumn id="18" name="Landings" totalsRowFunction="custom">
      <totalsRowFormula>SUM(Table6[Landings])</totalsRowFormula>
    </tableColumn>
    <tableColumn id="19" name="Inst. Apps" totalsRowFunction="custom">
      <totalsRowFormula>SUM(Table6[Inst. Apps])</totalsRowFormula>
    </tableColumn>
    <tableColumn id="20" name="Comments"/>
  </tableColumns>
  <tableStyleInfo name="TableStyleMedium9" showFirstColumn="1" showLastColumn="0" showRowStripes="1" showColumnStripes="0"/>
</table>
</file>

<file path=xl/tables/table3.xml><?xml version="1.0" encoding="utf-8"?>
<table xmlns="http://schemas.openxmlformats.org/spreadsheetml/2006/main" id="3" displayName="Table8" ref="A1:T6" totalsRowCount="1">
  <autoFilter ref="A1:T5">
    <filterColumn colId="0">
      <filters>
        <dateGroupItem year="2025" dateTimeGrouping="year"/>
      </filters>
    </filterColumn>
  </autoFilter>
  <tableColumns count="20">
    <tableColumn id="1" name="DoF" totalsRowLabel="Summary"/>
    <tableColumn id="2" name="Mission"/>
    <tableColumn id="3" name="Aircraft Type"/>
    <tableColumn id="4" name="Tail Number"/>
    <tableColumn id="5" name="Departure"/>
    <tableColumn id="6" name="Arrival"/>
    <tableColumn id="7" name="Crew"/>
    <tableColumn id="8" name="Role"/>
    <tableColumn id="9" name="Startup"/>
    <tableColumn id="10" name="Shutdown"/>
    <tableColumn id="11" name="Flight Duration" totalsRowFunction="custom">
      <totalsRowFormula>SUM(Table8[Flight Duration])</totalsRowFormula>
    </tableColumn>
    <tableColumn id="12" name="Day Duration" totalsRowFunction="custom">
      <totalsRowFormula>SUM(Table8[Day Duration])</totalsRowFormula>
    </tableColumn>
    <tableColumn id="13" name="Night Duration" totalsRowFunction="custom">
      <totalsRowFormula>SUM(Table8[Night Duration])</totalsRowFormula>
    </tableColumn>
    <tableColumn id="14" name="NVG Duration" totalsRowFunction="custom">
      <totalsRowFormula>SUM(Table8[NVG Duration])</totalsRowFormula>
    </tableColumn>
    <tableColumn id="15" name="Simulated IFR" totalsRowFunction="custom">
      <totalsRowFormula>SUM(Table8[Simulated IFR])</totalsRowFormula>
    </tableColumn>
    <tableColumn id="16" name="Real IFR" totalsRowFunction="custom">
      <totalsRowFormula>SUM(Table8[Real IFR])</totalsRowFormula>
    </tableColumn>
    <tableColumn id="17" name="Takeoffs" totalsRowFunction="custom">
      <totalsRowFormula>SUM(Table8[Takeoffs])</totalsRowFormula>
    </tableColumn>
    <tableColumn id="18" name="Landings" totalsRowFunction="custom">
      <totalsRowFormula>SUM(Table8[Landings])</totalsRowFormula>
    </tableColumn>
    <tableColumn id="19" name="Inst. Apps" totalsRowFunction="custom">
      <totalsRowFormula>SUM(Table8[Inst. Apps])</totalsRowFormula>
    </tableColumn>
    <tableColumn id="20" name="Comments"/>
  </tableColumns>
  <tableStyleInfo name="TableStyleMedium9" showFirstColumn="1" showLastColumn="0" showRowStripes="1" showColumnStripes="0"/>
</table>
</file>

<file path=xl/tables/table4.xml><?xml version="1.0" encoding="utf-8"?>
<table xmlns="http://schemas.openxmlformats.org/spreadsheetml/2006/main" id="4" displayName="Table1" ref="A1:T23" totalsRowCount="1">
  <autoFilter ref="A1:T22"/>
  <tableColumns count="20">
    <tableColumn id="1" name="DoF" totalsRowLabel="Summary"/>
    <tableColumn id="2" name="Mission"/>
    <tableColumn id="3" name="Aircraft Type"/>
    <tableColumn id="4" name="Tail Number"/>
    <tableColumn id="5" name="Departure"/>
    <tableColumn id="6" name="Arrival"/>
    <tableColumn id="7" name="Crew"/>
    <tableColumn id="8" name="Role"/>
    <tableColumn id="9" name="Startup"/>
    <tableColumn id="10" name="Shutdown"/>
    <tableColumn id="11" name="Flight Duration" totalsRowFunction="custom">
      <totalsRowFormula>SUM(Table1[Flight Duration])</totalsRowFormula>
    </tableColumn>
    <tableColumn id="12" name="Day Duration" totalsRowFunction="custom">
      <totalsRowFormula>SUM(Table1[Day Duration])</totalsRowFormula>
    </tableColumn>
    <tableColumn id="13" name="Night Duration" totalsRowFunction="custom">
      <totalsRowFormula>SUM(Table1[Night Duration])</totalsRowFormula>
    </tableColumn>
    <tableColumn id="14" name="NVG Duration" totalsRowFunction="custom">
      <totalsRowFormula>SUM(Table1[NVG Duration])</totalsRowFormula>
    </tableColumn>
    <tableColumn id="15" name="Simulated IFR" totalsRowFunction="custom">
      <totalsRowFormula>SUM(Table1[Simulated IFR])</totalsRowFormula>
    </tableColumn>
    <tableColumn id="16" name="Real IFR" totalsRowFunction="custom">
      <totalsRowFormula>SUM(Table1[Real IFR])</totalsRowFormula>
    </tableColumn>
    <tableColumn id="17" name="Takeoffs" totalsRowFunction="custom">
      <totalsRowFormula>SUM(Table1[Takeoffs])</totalsRowFormula>
    </tableColumn>
    <tableColumn id="18" name="Landings" totalsRowFunction="custom">
      <totalsRowFormula>SUM(Table1[Landings])</totalsRowFormula>
    </tableColumn>
    <tableColumn id="19" name="Inst. Apps" totalsRowFunction="custom">
      <totalsRowFormula>SUM(Table1[Inst. Apps])</totalsRowFormula>
    </tableColumn>
    <tableColumn id="20" name="Comments"/>
  </tableColumns>
  <tableStyleInfo name="TableStyleMedium9" showFirstColumn="1" showLastColumn="0" showRowStripes="1" showColumnStripes="0"/>
</table>
</file>

<file path=xl/tables/table5.xml><?xml version="1.0" encoding="utf-8"?>
<table xmlns="http://schemas.openxmlformats.org/spreadsheetml/2006/main" id="5" displayName="Table9" ref="A1:T33" totalsRowCount="1">
  <autoFilter ref="A1:T32"/>
  <tableColumns count="20">
    <tableColumn id="1" name="DoF" totalsRowLabel="Summary"/>
    <tableColumn id="2" name="Mission"/>
    <tableColumn id="3" name="Aircraft Type"/>
    <tableColumn id="4" name="Tail Number"/>
    <tableColumn id="5" name="Departure"/>
    <tableColumn id="6" name="Arrival"/>
    <tableColumn id="7" name="Crew"/>
    <tableColumn id="8" name="Role"/>
    <tableColumn id="9" name="Startup"/>
    <tableColumn id="10" name="Shutdown"/>
    <tableColumn id="11" name="Flight Duration" totalsRowFunction="custom">
      <totalsRowFormula>SUM(Table9[Flight Duration])</totalsRowFormula>
    </tableColumn>
    <tableColumn id="12" name="Day Duration" totalsRowFunction="custom">
      <totalsRowFormula>SUM(Table9[Day Duration])</totalsRowFormula>
    </tableColumn>
    <tableColumn id="13" name="Night Duration" totalsRowFunction="custom">
      <totalsRowFormula>SUM(Table9[Night Duration])</totalsRowFormula>
    </tableColumn>
    <tableColumn id="14" name="NVG Duration" totalsRowFunction="custom">
      <totalsRowFormula>SUM(Table9[NVG Duration])</totalsRowFormula>
    </tableColumn>
    <tableColumn id="15" name="Simulated IFR" totalsRowFunction="custom">
      <totalsRowFormula>SUM(Table9[Simulated IFR])</totalsRowFormula>
    </tableColumn>
    <tableColumn id="16" name="Real IFR" totalsRowFunction="custom">
      <totalsRowFormula>SUM(Table9[Real IFR])</totalsRowFormula>
    </tableColumn>
    <tableColumn id="17" name="Takeoffs" totalsRowFunction="custom">
      <totalsRowFormula>SUM(Table9[Takeoffs])</totalsRowFormula>
    </tableColumn>
    <tableColumn id="18" name="Landings" totalsRowFunction="custom">
      <totalsRowFormula>SUM(Table9[Landings])</totalsRowFormula>
    </tableColumn>
    <tableColumn id="19" name="Inst. Apps" totalsRowFunction="custom">
      <totalsRowFormula>SUM(Table9[Inst. Apps])</totalsRowFormula>
    </tableColumn>
    <tableColumn id="20" name="Comments"/>
  </tableColumns>
  <tableStyleInfo name="TableStyleMedium9" showFirstColumn="1" showLastColumn="0" showRowStripes="1" showColumnStripes="0"/>
</table>
</file>

<file path=xl/tables/table6.xml><?xml version="1.0" encoding="utf-8"?>
<table xmlns="http://schemas.openxmlformats.org/spreadsheetml/2006/main" id="6" displayName="Table10" ref="A1:T32" totalsRowCount="1">
  <autoFilter ref="A1:T31">
    <filterColumn colId="0">
      <filters>
        <dateGroupItem year="2025" dateTimeGrouping="year"/>
      </filters>
    </filterColumn>
  </autoFilter>
  <tableColumns count="20">
    <tableColumn id="1" name="DoF" totalsRowLabel="Summary"/>
    <tableColumn id="2" name="Mission"/>
    <tableColumn id="3" name="Aircraft Type"/>
    <tableColumn id="4" name="Tail Number"/>
    <tableColumn id="5" name="Departure"/>
    <tableColumn id="6" name="Arrival"/>
    <tableColumn id="7" name="Crew"/>
    <tableColumn id="8" name="Role"/>
    <tableColumn id="9" name="Startup"/>
    <tableColumn id="10" name="Shutdown"/>
    <tableColumn id="11" name="Flight Duration" totalsRowFunction="custom">
      <totalsRowFormula>SUM(Table10[Flight Duration])</totalsRowFormula>
    </tableColumn>
    <tableColumn id="12" name="Day Duration" totalsRowFunction="custom">
      <totalsRowFormula>SUM(Table10[Day Duration])</totalsRowFormula>
    </tableColumn>
    <tableColumn id="13" name="Night Duration" totalsRowFunction="custom">
      <totalsRowFormula>SUM(Table10[Night Duration])</totalsRowFormula>
    </tableColumn>
    <tableColumn id="14" name="NVG Duration" totalsRowFunction="custom">
      <totalsRowFormula>SUM(Table10[NVG Duration])</totalsRowFormula>
    </tableColumn>
    <tableColumn id="15" name="Simulated IFR" totalsRowFunction="custom">
      <totalsRowFormula>SUM(Table10[Simulated IFR])</totalsRowFormula>
    </tableColumn>
    <tableColumn id="16" name="Real IFR" totalsRowFunction="custom">
      <totalsRowFormula>SUM(Table10[Real IFR])</totalsRowFormula>
    </tableColumn>
    <tableColumn id="17" name="Takeoffs" totalsRowFunction="custom">
      <totalsRowFormula>SUM(Table10[Takeoffs])</totalsRowFormula>
    </tableColumn>
    <tableColumn id="18" name="Landings" totalsRowFunction="custom">
      <totalsRowFormula>SUM(Table10[Landings])</totalsRowFormula>
    </tableColumn>
    <tableColumn id="19" name="Inst. Apps" totalsRowFunction="custom">
      <totalsRowFormula>SUM(Table10[Inst. Apps])</totalsRowFormula>
    </tableColumn>
    <tableColumn id="20" name="Comments"/>
  </tableColumns>
  <tableStyleInfo name="TableStyleMedium9" showFirstColumn="1" showLastColumn="0" showRowStripes="1" showColumnStripes="0"/>
</table>
</file>

<file path=xl/tables/table7.xml><?xml version="1.0" encoding="utf-8"?>
<table xmlns="http://schemas.openxmlformats.org/spreadsheetml/2006/main" id="7" displayName="Table11" ref="A1:T33" totalsRowCount="1">
  <autoFilter ref="A1:T32">
    <filterColumn colId="0">
      <filters>
        <dateGroupItem year="2025" dateTimeGrouping="year"/>
      </filters>
    </filterColumn>
  </autoFilter>
  <tableColumns count="20">
    <tableColumn id="1" name="DoF" totalsRowLabel="Summary"/>
    <tableColumn id="2" name="Mission"/>
    <tableColumn id="3" name="Aircraft Type"/>
    <tableColumn id="4" name="Tail Number"/>
    <tableColumn id="5" name="Departure"/>
    <tableColumn id="6" name="Arrival"/>
    <tableColumn id="7" name="Crew"/>
    <tableColumn id="8" name="Role"/>
    <tableColumn id="9" name="Startup"/>
    <tableColumn id="10" name="Shutdown"/>
    <tableColumn id="11" name="Flight Duration" totalsRowFunction="custom">
      <totalsRowFormula>SUM(Table11[Flight Duration])</totalsRowFormula>
    </tableColumn>
    <tableColumn id="12" name="Day Duration" totalsRowFunction="custom">
      <totalsRowFormula>SUM(Table11[Day Duration])</totalsRowFormula>
    </tableColumn>
    <tableColumn id="13" name="Night Duration" totalsRowFunction="custom">
      <totalsRowFormula>SUM(Table11[Night Duration])</totalsRowFormula>
    </tableColumn>
    <tableColumn id="14" name="NVG Duration" totalsRowFunction="custom">
      <totalsRowFormula>SUM(Table11[NVG Duration])</totalsRowFormula>
    </tableColumn>
    <tableColumn id="15" name="Simulated IFR" totalsRowFunction="custom">
      <totalsRowFormula>SUM(Table11[Simulated IFR])</totalsRowFormula>
    </tableColumn>
    <tableColumn id="16" name="Real IFR" totalsRowFunction="custom">
      <totalsRowFormula>SUM(Table11[Real IFR])</totalsRowFormula>
    </tableColumn>
    <tableColumn id="17" name="Takeoffs" totalsRowFunction="custom">
      <totalsRowFormula>SUM(Table11[Takeoffs])</totalsRowFormula>
    </tableColumn>
    <tableColumn id="18" name="Landings" totalsRowFunction="custom">
      <totalsRowFormula>SUM(Table11[Landings])</totalsRowFormula>
    </tableColumn>
    <tableColumn id="19" name="Inst. Apps" totalsRowFunction="custom">
      <totalsRowFormula>SUM(Table11[Inst. Apps])</totalsRowFormula>
    </tableColumn>
    <tableColumn id="20" name="Comments"/>
  </tableColumns>
  <tableStyleInfo name="TableStyleMedium9" showFirstColumn="1" showLastColumn="0" showRowStripes="1" showColumnStripes="0"/>
</table>
</file>

<file path=xl/tables/table8.xml><?xml version="1.0" encoding="utf-8"?>
<table xmlns="http://schemas.openxmlformats.org/spreadsheetml/2006/main" id="8" displayName="Table12" ref="A1:T33" totalsRowCount="1">
  <autoFilter ref="A1:T32">
    <filterColumn colId="0">
      <filters>
        <dateGroupItem year="2025" dateTimeGrouping="year"/>
      </filters>
    </filterColumn>
  </autoFilter>
  <tableColumns count="20">
    <tableColumn id="1" name="DoF" totalsRowLabel="Summary"/>
    <tableColumn id="2" name="Mission"/>
    <tableColumn id="3" name="Aircraft Type"/>
    <tableColumn id="4" name="Tail Number"/>
    <tableColumn id="5" name="Departure"/>
    <tableColumn id="6" name="Arrival"/>
    <tableColumn id="7" name="Crew"/>
    <tableColumn id="8" name="Role"/>
    <tableColumn id="9" name="Startup"/>
    <tableColumn id="10" name="Shutdown"/>
    <tableColumn id="11" name="Flight Duration" totalsRowFunction="custom">
      <totalsRowFormula>SUM(Table12[Flight Duration])</totalsRowFormula>
    </tableColumn>
    <tableColumn id="12" name="Day Duration" totalsRowFunction="custom">
      <totalsRowFormula>SUM(Table12[Day Duration])</totalsRowFormula>
    </tableColumn>
    <tableColumn id="13" name="Night Duration" totalsRowFunction="custom">
      <totalsRowFormula>SUM(Table12[Night Duration])</totalsRowFormula>
    </tableColumn>
    <tableColumn id="14" name="NVG Duration" totalsRowFunction="custom">
      <totalsRowFormula>SUM(Table12[NVG Duration])</totalsRowFormula>
    </tableColumn>
    <tableColumn id="15" name="Simulated IFR" totalsRowFunction="custom">
      <totalsRowFormula>SUM(Table12[Simulated IFR])</totalsRowFormula>
    </tableColumn>
    <tableColumn id="16" name="Real IFR" totalsRowFunction="custom">
      <totalsRowFormula>SUM(Table12[Real IFR])</totalsRowFormula>
    </tableColumn>
    <tableColumn id="17" name="Takeoffs" totalsRowFunction="custom">
      <totalsRowFormula>SUM(Table12[Takeoffs])</totalsRowFormula>
    </tableColumn>
    <tableColumn id="18" name="Landings" totalsRowFunction="custom">
      <totalsRowFormula>SUM(Table12[Landings])</totalsRowFormula>
    </tableColumn>
    <tableColumn id="19" name="Inst. Apps" totalsRowFunction="custom">
      <totalsRowFormula>SUM(Table12[Inst. Apps])</totalsRowFormula>
    </tableColumn>
    <tableColumn id="20" name="Comments"/>
  </tableColumns>
  <tableStyleInfo name="TableStyleMedium9" showFirstColumn="1" showLastColumn="0" showRowStripes="1" showColumnStripes="0"/>
</table>
</file>

<file path=xl/tables/table9.xml><?xml version="1.0" encoding="utf-8"?>
<table xmlns="http://schemas.openxmlformats.org/spreadsheetml/2006/main" id="9" displayName="Table13" ref="A1:T32" totalsRowCount="1">
  <autoFilter ref="A1:T31">
    <filterColumn colId="0">
      <filters>
        <dateGroupItem year="2025" dateTimeGrouping="year"/>
      </filters>
    </filterColumn>
  </autoFilter>
  <tableColumns count="20">
    <tableColumn id="1" name="DoF" totalsRowLabel="Summary"/>
    <tableColumn id="2" name="Mission"/>
    <tableColumn id="3" name="Aircraft Type"/>
    <tableColumn id="4" name="Tail Number"/>
    <tableColumn id="5" name="Departure"/>
    <tableColumn id="6" name="Arrival"/>
    <tableColumn id="7" name="Crew"/>
    <tableColumn id="8" name="Role"/>
    <tableColumn id="9" name="Startup"/>
    <tableColumn id="10" name="Shutdown"/>
    <tableColumn id="11" name="Flight Duration" totalsRowFunction="custom">
      <totalsRowFormula>SUM(Table13[Flight Duration])</totalsRowFormula>
    </tableColumn>
    <tableColumn id="12" name="Day Duration" totalsRowFunction="custom">
      <totalsRowFormula>SUM(Table13[Day Duration])</totalsRowFormula>
    </tableColumn>
    <tableColumn id="13" name="Night Duration" totalsRowFunction="custom">
      <totalsRowFormula>SUM(Table13[Night Duration])</totalsRowFormula>
    </tableColumn>
    <tableColumn id="14" name="NVG Duration" totalsRowFunction="custom">
      <totalsRowFormula>SUM(Table13[NVG Duration])</totalsRowFormula>
    </tableColumn>
    <tableColumn id="15" name="Simulated IFR" totalsRowFunction="custom">
      <totalsRowFormula>SUM(Table13[Simulated IFR])</totalsRowFormula>
    </tableColumn>
    <tableColumn id="16" name="Real IFR" totalsRowFunction="custom">
      <totalsRowFormula>SUM(Table13[Real IFR])</totalsRowFormula>
    </tableColumn>
    <tableColumn id="17" name="Takeoffs" totalsRowFunction="custom">
      <totalsRowFormula>SUM(Table13[Takeoffs])</totalsRowFormula>
    </tableColumn>
    <tableColumn id="18" name="Landings" totalsRowFunction="custom">
      <totalsRowFormula>SUM(Table13[Landings])</totalsRowFormula>
    </tableColumn>
    <tableColumn id="19" name="Inst. Apps" totalsRowFunction="custom">
      <totalsRowFormula>SUM(Table13[Inst. Apps])</totalsRowFormula>
    </tableColumn>
    <tableColumn id="20" name="Comments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2"/>
  <sheetViews>
    <sheetView workbookViewId="0">
      <selection activeCell="I1" sqref="I$1:I$1048576"/>
    </sheetView>
  </sheetViews>
  <sheetFormatPr defaultColWidth="9" defaultRowHeight="14.25"/>
  <cols>
    <col min="1" max="1" width="10.7890625" style="6" customWidth="1"/>
    <col min="2" max="2" width="16.5546875" style="1" customWidth="1"/>
    <col min="3" max="3" width="18.375" style="1" customWidth="1"/>
    <col min="4" max="4" width="17.7265625" style="1" customWidth="1"/>
    <col min="5" max="5" width="15.90625" style="1" customWidth="1"/>
    <col min="6" max="6" width="12.796875" style="1" customWidth="1"/>
    <col min="7" max="8" width="12.421875" style="1" customWidth="1"/>
    <col min="9" max="9" width="13.578125" style="1" customWidth="1"/>
    <col min="10" max="10" width="16.03125" style="1" customWidth="1"/>
    <col min="11" max="11" width="20.1953125" style="1" customWidth="1"/>
    <col min="12" max="12" width="18.6328125" style="1" customWidth="1"/>
    <col min="13" max="13" width="20.1953125" style="1" customWidth="1"/>
    <col min="14" max="14" width="19.28125" style="1" customWidth="1"/>
    <col min="15" max="15" width="18.890625" style="1" customWidth="1"/>
    <col min="16" max="16" width="13.8515625" style="1" customWidth="1"/>
    <col min="17" max="18" width="10.0078125" style="1" customWidth="1"/>
    <col min="19" max="19" width="10.140625" style="1" customWidth="1"/>
    <col min="20" max="20" width="35.8515625" style="1" customWidth="1"/>
    <col min="21" max="21" width="9" style="1"/>
    <col min="22" max="22" width="10.2734375"/>
    <col min="23" max="23" width="10.2734375" style="4"/>
    <col min="24" max="16384" width="9" style="1"/>
  </cols>
  <sheetData>
    <row r="1" s="5" customFormat="1" ht="29.25" spans="1:23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22" t="s">
        <v>18</v>
      </c>
      <c r="T1" s="23" t="s">
        <v>19</v>
      </c>
      <c r="V1" s="11" t="s">
        <v>20</v>
      </c>
      <c r="W1" s="11" t="s">
        <v>21</v>
      </c>
    </row>
    <row r="2" ht="15" outlineLevel="1" spans="1:23">
      <c r="A2" s="15">
        <v>45665</v>
      </c>
      <c r="B2" s="16" t="s">
        <v>22</v>
      </c>
      <c r="C2" s="16" t="s">
        <v>23</v>
      </c>
      <c r="D2" s="16" t="s">
        <v>24</v>
      </c>
      <c r="E2" s="16" t="s">
        <v>25</v>
      </c>
      <c r="F2" s="16" t="s">
        <v>25</v>
      </c>
      <c r="G2" s="16" t="s">
        <v>26</v>
      </c>
      <c r="H2" s="16" t="s">
        <v>27</v>
      </c>
      <c r="I2" s="18">
        <v>0.4375</v>
      </c>
      <c r="J2" s="18">
        <v>0.50625</v>
      </c>
      <c r="K2" s="19">
        <f>MOD(JAN!J2-JAN!I2,1)</f>
        <v>0.06875</v>
      </c>
      <c r="L2" s="19">
        <f>IF(JAN!I2&lt;JAN!V2,MIN(JAN!V2-JAN!I2,JAN!K2),0)</f>
        <v>0.06875</v>
      </c>
      <c r="M2" s="19">
        <f>JAN!K2-JAN!L2</f>
        <v>0</v>
      </c>
      <c r="N2" s="19">
        <f>JAN!K2-JAN!L2</f>
        <v>0</v>
      </c>
      <c r="O2" s="19">
        <v>0</v>
      </c>
      <c r="P2" s="19">
        <v>0</v>
      </c>
      <c r="Q2" s="24">
        <v>1</v>
      </c>
      <c r="R2" s="24">
        <v>2</v>
      </c>
      <c r="S2" s="24"/>
      <c r="T2" s="25" t="s">
        <v>28</v>
      </c>
      <c r="V2" s="2">
        <f>_xlfn.XLOOKUP(JAN!A:A,'SR-SS'!A:A,'SR-SS'!C:C)+TIME(0,30,0)</f>
        <v>0.742361111111111</v>
      </c>
      <c r="W2" s="2">
        <f>_xlfn.XLOOKUP(JAN!A:A,'SR-SS'!A:A,'SR-SS'!B:B)-TIME(0,30,0)</f>
        <v>0.295138888888889</v>
      </c>
    </row>
    <row r="3" spans="1:23">
      <c r="A3" s="15">
        <v>45666</v>
      </c>
      <c r="B3" s="17" t="s">
        <v>29</v>
      </c>
      <c r="C3" s="17" t="s">
        <v>23</v>
      </c>
      <c r="D3" s="17" t="s">
        <v>30</v>
      </c>
      <c r="E3" s="17" t="s">
        <v>25</v>
      </c>
      <c r="F3" s="17" t="s">
        <v>25</v>
      </c>
      <c r="G3" s="17" t="s">
        <v>31</v>
      </c>
      <c r="H3" s="17" t="s">
        <v>27</v>
      </c>
      <c r="I3" s="20">
        <v>0.361111111111111</v>
      </c>
      <c r="J3" s="20">
        <v>0.391666666666667</v>
      </c>
      <c r="K3" s="21">
        <f>MOD(JAN!J3-JAN!I3,1)</f>
        <v>0.0305555555555556</v>
      </c>
      <c r="L3" s="21">
        <f>IF(JAN!I3&lt;JAN!V3,MIN(JAN!V3-JAN!I3,JAN!K3),0)</f>
        <v>0.0305555555555556</v>
      </c>
      <c r="M3" s="21">
        <f>JAN!K3-JAN!L3</f>
        <v>0</v>
      </c>
      <c r="N3" s="21">
        <f>JAN!K3-JAN!L3</f>
        <v>0</v>
      </c>
      <c r="O3" s="21">
        <v>0</v>
      </c>
      <c r="P3" s="21">
        <v>0</v>
      </c>
      <c r="Q3" s="26"/>
      <c r="R3" s="26"/>
      <c r="S3" s="9"/>
      <c r="V3" s="2">
        <f>_xlfn.XLOOKUP(JAN!A:A,'SR-SS'!A:A,'SR-SS'!C:C)+TIME(0,30,0)</f>
        <v>0.743055555555556</v>
      </c>
      <c r="W3" s="2">
        <f>_xlfn.XLOOKUP(JAN!A:A,'SR-SS'!A:A,'SR-SS'!B:B)-TIME(0,30,0)</f>
        <v>0.295138888888889</v>
      </c>
    </row>
    <row r="4" spans="1:23">
      <c r="A4" s="6">
        <v>45666</v>
      </c>
      <c r="B4" s="1" t="s">
        <v>29</v>
      </c>
      <c r="C4" s="1" t="s">
        <v>23</v>
      </c>
      <c r="D4" s="1" t="s">
        <v>30</v>
      </c>
      <c r="E4" s="1" t="s">
        <v>25</v>
      </c>
      <c r="F4" s="1" t="s">
        <v>25</v>
      </c>
      <c r="G4" s="1" t="s">
        <v>31</v>
      </c>
      <c r="H4" s="1" t="s">
        <v>27</v>
      </c>
      <c r="I4" s="7">
        <v>0.405555555555556</v>
      </c>
      <c r="J4" s="7">
        <v>0.420138888888889</v>
      </c>
      <c r="K4" s="4">
        <f>MOD(JAN!J4-JAN!I4,1)</f>
        <v>0.0145833333333333</v>
      </c>
      <c r="L4" s="4">
        <f>IF(JAN!I4&lt;JAN!V4,MIN(JAN!V4-JAN!I4,JAN!K4),0)</f>
        <v>0.0145833333333333</v>
      </c>
      <c r="M4" s="4">
        <f>JAN!K4-JAN!L4</f>
        <v>0</v>
      </c>
      <c r="N4" s="4">
        <f>JAN!K4-JAN!L4</f>
        <v>0</v>
      </c>
      <c r="O4" s="4">
        <v>0</v>
      </c>
      <c r="P4" s="4">
        <v>0</v>
      </c>
      <c r="Q4" s="9"/>
      <c r="R4" s="9"/>
      <c r="S4" s="9"/>
      <c r="V4" s="2">
        <f>_xlfn.XLOOKUP(JAN!A:A,'SR-SS'!A:A,'SR-SS'!C:C)+TIME(0,30,0)</f>
        <v>0.743055555555556</v>
      </c>
      <c r="W4" s="2">
        <f>_xlfn.XLOOKUP(JAN!A:A,'SR-SS'!A:A,'SR-SS'!B:B)-TIME(0,30,0)</f>
        <v>0.295138888888889</v>
      </c>
    </row>
    <row r="5" spans="1:23">
      <c r="A5" s="6">
        <v>45672</v>
      </c>
      <c r="B5" s="1" t="s">
        <v>32</v>
      </c>
      <c r="C5" s="1" t="s">
        <v>23</v>
      </c>
      <c r="D5" s="1" t="s">
        <v>24</v>
      </c>
      <c r="E5" s="1" t="s">
        <v>25</v>
      </c>
      <c r="F5" s="1" t="s">
        <v>33</v>
      </c>
      <c r="G5" s="1" t="s">
        <v>34</v>
      </c>
      <c r="H5" s="1" t="s">
        <v>27</v>
      </c>
      <c r="I5" s="7">
        <v>0.504861111111111</v>
      </c>
      <c r="J5" s="7">
        <v>0.556944444444444</v>
      </c>
      <c r="K5" s="4">
        <f>MOD(JAN!J5-JAN!I5,1)</f>
        <v>0.0520833333333334</v>
      </c>
      <c r="L5" s="4">
        <f>IF(JAN!I5&lt;JAN!V5,MIN(JAN!V5-JAN!I5,JAN!K5),0)</f>
        <v>0.0520833333333334</v>
      </c>
      <c r="M5" s="4">
        <f>JAN!K5-JAN!L5</f>
        <v>0</v>
      </c>
      <c r="N5" s="4">
        <f>JAN!K5-JAN!L5</f>
        <v>0</v>
      </c>
      <c r="O5" s="4">
        <v>0</v>
      </c>
      <c r="P5" s="4">
        <v>0</v>
      </c>
      <c r="Q5" s="9">
        <v>1</v>
      </c>
      <c r="R5" s="9">
        <v>1</v>
      </c>
      <c r="S5" s="9"/>
      <c r="T5" s="1" t="s">
        <v>35</v>
      </c>
      <c r="V5" s="2">
        <f>_xlfn.XLOOKUP(JAN!A:A,'SR-SS'!A:A,'SR-SS'!C:C)+TIME(0,30,0)</f>
        <v>0.747222222222222</v>
      </c>
      <c r="W5" s="2">
        <f>_xlfn.XLOOKUP(JAN!A:A,'SR-SS'!A:A,'SR-SS'!B:B)-TIME(0,30,0)</f>
        <v>0.29375</v>
      </c>
    </row>
    <row r="6" spans="1:23">
      <c r="A6" s="6">
        <v>45672</v>
      </c>
      <c r="B6" s="1" t="s">
        <v>32</v>
      </c>
      <c r="C6" s="1" t="s">
        <v>23</v>
      </c>
      <c r="D6" s="1" t="s">
        <v>24</v>
      </c>
      <c r="E6" s="1" t="s">
        <v>33</v>
      </c>
      <c r="F6" s="1" t="s">
        <v>36</v>
      </c>
      <c r="G6" s="1" t="s">
        <v>34</v>
      </c>
      <c r="H6" s="1" t="s">
        <v>27</v>
      </c>
      <c r="I6" s="7">
        <v>0.569444444444444</v>
      </c>
      <c r="J6" s="7">
        <v>0.607638888888889</v>
      </c>
      <c r="K6" s="4">
        <f>MOD(JAN!J6-JAN!I6,1)</f>
        <v>0.0381944444444444</v>
      </c>
      <c r="L6" s="4">
        <f>IF(JAN!I6&lt;JAN!V6,MIN(JAN!V6-JAN!I6,JAN!K6),0)</f>
        <v>0.0381944444444444</v>
      </c>
      <c r="M6" s="4">
        <f>JAN!K6-JAN!L6</f>
        <v>0</v>
      </c>
      <c r="N6" s="4">
        <f>JAN!K6-JAN!L6</f>
        <v>0</v>
      </c>
      <c r="O6" s="4">
        <v>0</v>
      </c>
      <c r="P6" s="4">
        <v>0</v>
      </c>
      <c r="Q6" s="9">
        <v>1</v>
      </c>
      <c r="R6" s="9">
        <v>1</v>
      </c>
      <c r="S6" s="9"/>
      <c r="V6" s="2">
        <f>_xlfn.XLOOKUP(JAN!A:A,'SR-SS'!A:A,'SR-SS'!C:C)+TIME(0,30,0)</f>
        <v>0.747222222222222</v>
      </c>
      <c r="W6" s="2">
        <f>_xlfn.XLOOKUP(JAN!A:A,'SR-SS'!A:A,'SR-SS'!B:B)-TIME(0,30,0)</f>
        <v>0.29375</v>
      </c>
    </row>
    <row r="7" spans="1:23">
      <c r="A7" s="6">
        <v>45672</v>
      </c>
      <c r="B7" s="1" t="s">
        <v>32</v>
      </c>
      <c r="C7" s="1" t="s">
        <v>23</v>
      </c>
      <c r="D7" s="1" t="s">
        <v>24</v>
      </c>
      <c r="E7" s="1" t="s">
        <v>36</v>
      </c>
      <c r="F7" s="1" t="s">
        <v>33</v>
      </c>
      <c r="G7" s="1" t="s">
        <v>34</v>
      </c>
      <c r="H7" s="1" t="s">
        <v>27</v>
      </c>
      <c r="I7" s="7">
        <v>0.618055555555556</v>
      </c>
      <c r="J7" s="7">
        <v>0.65625</v>
      </c>
      <c r="K7" s="4">
        <f>MOD(JAN!J7-JAN!I7,1)</f>
        <v>0.0381944444444444</v>
      </c>
      <c r="L7" s="4">
        <f>IF(JAN!I7&lt;JAN!V7,MIN(JAN!V7-JAN!I7,JAN!K7),0)</f>
        <v>0.0381944444444444</v>
      </c>
      <c r="M7" s="4">
        <f>JAN!K7-JAN!L7</f>
        <v>0</v>
      </c>
      <c r="N7" s="4">
        <f>JAN!K7-JAN!L7</f>
        <v>0</v>
      </c>
      <c r="O7" s="4">
        <v>0</v>
      </c>
      <c r="P7" s="4">
        <v>0</v>
      </c>
      <c r="Q7" s="9">
        <v>1</v>
      </c>
      <c r="R7" s="9">
        <v>1</v>
      </c>
      <c r="S7" s="9"/>
      <c r="T7" s="1" t="s">
        <v>35</v>
      </c>
      <c r="V7" s="2">
        <f>_xlfn.XLOOKUP(JAN!A:A,'SR-SS'!A:A,'SR-SS'!C:C)+TIME(0,30,0)</f>
        <v>0.747222222222222</v>
      </c>
      <c r="W7" s="2">
        <f>_xlfn.XLOOKUP(JAN!A:A,'SR-SS'!A:A,'SR-SS'!B:B)-TIME(0,30,0)</f>
        <v>0.29375</v>
      </c>
    </row>
    <row r="8" spans="1:23">
      <c r="A8" s="6">
        <v>45672</v>
      </c>
      <c r="B8" s="1" t="s">
        <v>32</v>
      </c>
      <c r="C8" s="1" t="s">
        <v>23</v>
      </c>
      <c r="D8" s="1" t="s">
        <v>24</v>
      </c>
      <c r="E8" s="1" t="s">
        <v>33</v>
      </c>
      <c r="F8" s="1" t="s">
        <v>25</v>
      </c>
      <c r="G8" s="1" t="s">
        <v>34</v>
      </c>
      <c r="H8" s="1" t="s">
        <v>27</v>
      </c>
      <c r="I8" s="7">
        <v>0.670138888888889</v>
      </c>
      <c r="J8" s="7">
        <v>0.71875</v>
      </c>
      <c r="K8" s="4">
        <f>MOD(JAN!J8-JAN!I8,1)</f>
        <v>0.0486111111111112</v>
      </c>
      <c r="L8" s="4">
        <f>IF(JAN!I8&lt;JAN!V8,MIN(JAN!V8-JAN!I8,JAN!K8),0)</f>
        <v>0.0486111111111112</v>
      </c>
      <c r="M8" s="4">
        <f>JAN!K8-JAN!L8</f>
        <v>0</v>
      </c>
      <c r="N8" s="4">
        <f>JAN!K8-JAN!L8</f>
        <v>0</v>
      </c>
      <c r="O8" s="4">
        <v>0</v>
      </c>
      <c r="P8" s="4">
        <v>0</v>
      </c>
      <c r="Q8" s="9">
        <v>1</v>
      </c>
      <c r="R8" s="9">
        <v>1</v>
      </c>
      <c r="S8" s="9"/>
      <c r="V8" s="2">
        <f>_xlfn.XLOOKUP(JAN!A:A,'SR-SS'!A:A,'SR-SS'!C:C)+TIME(0,30,0)</f>
        <v>0.747222222222222</v>
      </c>
      <c r="W8" s="2">
        <f>_xlfn.XLOOKUP(JAN!A:A,'SR-SS'!A:A,'SR-SS'!B:B)-TIME(0,30,0)</f>
        <v>0.29375</v>
      </c>
    </row>
    <row r="9" spans="1:23">
      <c r="A9" s="6">
        <v>45683</v>
      </c>
      <c r="B9" s="1" t="s">
        <v>37</v>
      </c>
      <c r="C9" s="1" t="s">
        <v>23</v>
      </c>
      <c r="D9" s="1" t="s">
        <v>30</v>
      </c>
      <c r="E9" s="1" t="s">
        <v>25</v>
      </c>
      <c r="F9" s="1" t="s">
        <v>25</v>
      </c>
      <c r="G9" s="1" t="s">
        <v>34</v>
      </c>
      <c r="H9" s="1" t="s">
        <v>27</v>
      </c>
      <c r="I9" s="7">
        <v>0.757638888888889</v>
      </c>
      <c r="J9" s="7">
        <v>0.834027777777778</v>
      </c>
      <c r="K9" s="4">
        <f>MOD(JAN!J9-JAN!I9,1)</f>
        <v>0.076388888888889</v>
      </c>
      <c r="L9" s="4">
        <f>IF(JAN!I9&lt;V9,MIN(JAN!V9-JAN!I9,JAN!K9),0)</f>
        <v>0</v>
      </c>
      <c r="M9" s="4">
        <f>JAN!K9-JAN!L9</f>
        <v>0.076388888888889</v>
      </c>
      <c r="N9" s="4">
        <f>JAN!K9-JAN!L9</f>
        <v>0.076388888888889</v>
      </c>
      <c r="O9" s="4">
        <v>0</v>
      </c>
      <c r="P9" s="4">
        <v>0</v>
      </c>
      <c r="Q9" s="9"/>
      <c r="R9" s="9"/>
      <c r="S9" s="9"/>
      <c r="V9" s="2">
        <f>_xlfn.XLOOKUP(JAN!A:A,'SR-SS'!A:A,'SR-SS'!C:C)+TIME(0,30,0)</f>
        <v>0.755555555555556</v>
      </c>
      <c r="W9" s="2">
        <f>_xlfn.XLOOKUP(JAN!A:A,'SR-SS'!A:A,'SR-SS'!B:B)-TIME(0,30,0)</f>
        <v>0.290277777777778</v>
      </c>
    </row>
    <row r="10" spans="1:23">
      <c r="A10" s="6">
        <v>45684</v>
      </c>
      <c r="B10" s="1" t="s">
        <v>32</v>
      </c>
      <c r="C10" s="1" t="s">
        <v>23</v>
      </c>
      <c r="D10" s="1" t="s">
        <v>30</v>
      </c>
      <c r="E10" s="1" t="s">
        <v>25</v>
      </c>
      <c r="F10" s="1" t="s">
        <v>36</v>
      </c>
      <c r="G10" s="1" t="s">
        <v>38</v>
      </c>
      <c r="H10" s="1" t="s">
        <v>27</v>
      </c>
      <c r="I10" s="7">
        <v>0.323611111111111</v>
      </c>
      <c r="J10" s="7">
        <v>0.401388888888889</v>
      </c>
      <c r="K10" s="4">
        <f>MOD(JAN!J10-JAN!I10,1)</f>
        <v>0.0777777777777778</v>
      </c>
      <c r="L10" s="4">
        <f>IF(JAN!I10&lt;JAN!V9,MIN(JAN!V9-JAN!I10,JAN!K10),0)</f>
        <v>0.0777777777777778</v>
      </c>
      <c r="M10" s="4">
        <f>JAN!K10-JAN!L10</f>
        <v>0</v>
      </c>
      <c r="N10" s="4">
        <f>JAN!K10-JAN!L10</f>
        <v>0</v>
      </c>
      <c r="O10" s="4">
        <v>0</v>
      </c>
      <c r="P10" s="4">
        <v>0</v>
      </c>
      <c r="Q10" s="9">
        <v>2</v>
      </c>
      <c r="R10" s="9">
        <v>1</v>
      </c>
      <c r="S10" s="9"/>
      <c r="V10" s="2">
        <f>_xlfn.XLOOKUP(JAN!A:A,'SR-SS'!A:A,'SR-SS'!C:C)+TIME(0,30,0)</f>
        <v>0.75625</v>
      </c>
      <c r="W10" s="2">
        <f>_xlfn.XLOOKUP(JAN!A:A,'SR-SS'!A:A,'SR-SS'!B:B)-TIME(0,30,0)</f>
        <v>0.289583333333333</v>
      </c>
    </row>
    <row r="11" spans="1:23">
      <c r="A11" s="6">
        <v>45685</v>
      </c>
      <c r="B11" s="1" t="s">
        <v>32</v>
      </c>
      <c r="C11" s="1" t="s">
        <v>23</v>
      </c>
      <c r="D11" s="1" t="s">
        <v>30</v>
      </c>
      <c r="E11" s="1" t="s">
        <v>36</v>
      </c>
      <c r="F11" s="1" t="s">
        <v>25</v>
      </c>
      <c r="G11" s="1" t="s">
        <v>38</v>
      </c>
      <c r="H11" s="1" t="s">
        <v>27</v>
      </c>
      <c r="I11" s="7">
        <v>0.416666666666667</v>
      </c>
      <c r="J11" s="7">
        <v>0.486111111111111</v>
      </c>
      <c r="K11" s="4">
        <f>MOD(JAN!J11-JAN!I11,1)</f>
        <v>0.0694444444444444</v>
      </c>
      <c r="L11" s="4">
        <f>IF(JAN!I11&lt;JAN!V11,MIN(JAN!V11-JAN!I11,JAN!K11),0)</f>
        <v>0.0694444444444444</v>
      </c>
      <c r="M11" s="4">
        <f>JAN!K11-JAN!L11</f>
        <v>0</v>
      </c>
      <c r="N11" s="4">
        <f>JAN!K11-JAN!L11</f>
        <v>0</v>
      </c>
      <c r="O11" s="4">
        <v>0</v>
      </c>
      <c r="P11" s="4">
        <v>0</v>
      </c>
      <c r="Q11" s="9">
        <v>1</v>
      </c>
      <c r="R11" s="9">
        <v>1</v>
      </c>
      <c r="S11" s="9"/>
      <c r="V11" s="2">
        <f>_xlfn.XLOOKUP(JAN!A:A,'SR-SS'!A:A,'SR-SS'!C:C)+TIME(0,30,0)</f>
        <v>0.756944444444445</v>
      </c>
      <c r="W11" s="2">
        <f>_xlfn.XLOOKUP(JAN!A:A,'SR-SS'!A:A,'SR-SS'!B:B)-TIME(0,30,0)</f>
        <v>0.288888888888889</v>
      </c>
    </row>
    <row r="12" spans="1:19">
      <c r="A12" s="6" t="s">
        <v>39</v>
      </c>
      <c r="K12" s="7">
        <f>SUM(Table5[Flight Duration])</f>
        <v>0.514583333333333</v>
      </c>
      <c r="L12" s="4">
        <f>SUM(Table5[Day Duration])</f>
        <v>0.438194444444444</v>
      </c>
      <c r="M12" s="4">
        <f>SUM(Table5[Night Duration])</f>
        <v>0.076388888888889</v>
      </c>
      <c r="N12" s="4">
        <f>SUM(Table5[NVG Duration])</f>
        <v>0.076388888888889</v>
      </c>
      <c r="O12" s="4">
        <f>SUM(Table5[Simulated IFR])</f>
        <v>0</v>
      </c>
      <c r="P12" s="4">
        <f>SUM(Table5[Real IFR])</f>
        <v>0</v>
      </c>
      <c r="Q12" s="9">
        <f>SUM(Table5[Takeoffs])</f>
        <v>8</v>
      </c>
      <c r="R12" s="9">
        <f>SUM(Table5[Landings])</f>
        <v>8</v>
      </c>
      <c r="S12" s="9">
        <f>SUM(Table5[Inst. Apps])</f>
        <v>0</v>
      </c>
    </row>
  </sheetData>
  <printOptions headings="1"/>
  <pageMargins left="0.75" right="0.75" top="1" bottom="1" header="0.5" footer="0.5"/>
  <pageSetup paperSize="9" scale="40" fitToWidth="0" fitToHeight="0" orientation="landscape" horizontalDpi="600" verticalDpi="600"/>
  <headerFooter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3"/>
  <sheetViews>
    <sheetView topLeftCell="O1" workbookViewId="0">
      <selection activeCell="I1" sqref="I$1:I$1048576"/>
    </sheetView>
  </sheetViews>
  <sheetFormatPr defaultColWidth="9" defaultRowHeight="14.25"/>
  <cols>
    <col min="1" max="1" width="10.7890625" style="6" customWidth="1"/>
    <col min="2" max="2" width="16.5546875" style="1" customWidth="1"/>
    <col min="3" max="3" width="18.375" style="1" customWidth="1"/>
    <col min="4" max="4" width="17.7265625" style="1" customWidth="1"/>
    <col min="5" max="5" width="15.90625" style="1" customWidth="1"/>
    <col min="6" max="6" width="12.796875" style="1" customWidth="1"/>
    <col min="7" max="8" width="12.421875" style="1" customWidth="1"/>
    <col min="9" max="9" width="13.578125" style="1" customWidth="1"/>
    <col min="10" max="10" width="16.03125" style="1" customWidth="1"/>
    <col min="11" max="11" width="20.1953125" style="1" customWidth="1"/>
    <col min="12" max="12" width="18.6328125" style="1" customWidth="1"/>
    <col min="13" max="13" width="20.1953125" style="1" customWidth="1"/>
    <col min="14" max="14" width="19.28125" style="1" customWidth="1"/>
    <col min="15" max="15" width="18.890625" style="1" customWidth="1"/>
    <col min="16" max="16" width="13.8515625" style="1" customWidth="1"/>
    <col min="17" max="18" width="10.0078125" style="1" customWidth="1"/>
    <col min="19" max="19" width="10.140625" style="1" customWidth="1"/>
    <col min="20" max="20" width="35.8515625" style="1" customWidth="1"/>
    <col min="21" max="21" width="9" style="1"/>
    <col min="22" max="22" width="10.2734375"/>
    <col min="23" max="23" width="10.2734375" style="4"/>
    <col min="24" max="16384" width="9" style="1"/>
  </cols>
  <sheetData>
    <row r="1" s="5" customFormat="1" spans="1:23">
      <c r="A1" s="5" t="s">
        <v>0</v>
      </c>
      <c r="B1" s="5" t="s">
        <v>1</v>
      </c>
      <c r="C1" s="5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5" t="s">
        <v>10</v>
      </c>
      <c r="L1" s="5" t="s">
        <v>11</v>
      </c>
      <c r="M1" s="5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" t="s">
        <v>18</v>
      </c>
      <c r="T1" s="1" t="s">
        <v>19</v>
      </c>
      <c r="V1" s="11" t="s">
        <v>20</v>
      </c>
      <c r="W1" s="11" t="s">
        <v>21</v>
      </c>
    </row>
    <row r="2" spans="1:23">
      <c r="A2" s="6">
        <v>45931</v>
      </c>
      <c r="K2" s="4">
        <f>MOD(OCT!J2-OCT!I2,1)</f>
        <v>0</v>
      </c>
      <c r="L2" s="4">
        <f>IF(OCT!I2&lt;OCT!V2,MIN(OCT!V2-OCT!I2,OCT!K2),0)</f>
        <v>0</v>
      </c>
      <c r="M2" s="4">
        <f>OCT!K2-OCT!L2</f>
        <v>0</v>
      </c>
      <c r="N2" s="4">
        <f>OCT!K2-OCT!L2</f>
        <v>0</v>
      </c>
      <c r="O2" s="4">
        <v>0</v>
      </c>
      <c r="P2" s="4">
        <v>0</v>
      </c>
      <c r="Q2" s="9"/>
      <c r="R2" s="9"/>
      <c r="S2" s="9"/>
      <c r="V2" s="2">
        <f>_xlfn.XLOOKUP(OCT!A:A,'SR-SS'!A:A,'SR-SS'!C:C)+TIME(0,30,0)</f>
        <v>0.772916666666667</v>
      </c>
      <c r="W2" s="2">
        <f>_xlfn.XLOOKUP(OCT!A:A,'SR-SS'!A:A,'SR-SS'!B:B)-TIME(0,30,0)</f>
        <v>0.240277777777778</v>
      </c>
    </row>
    <row r="3" spans="1:23">
      <c r="A3" s="6">
        <v>45932</v>
      </c>
      <c r="K3" s="4">
        <f>MOD(OCT!J3-OCT!I3,1)</f>
        <v>0</v>
      </c>
      <c r="L3" s="4">
        <f>IF(OCT!I3&lt;OCT!V3,MIN(OCT!V3-OCT!I3,OCT!K3),0)</f>
        <v>0</v>
      </c>
      <c r="M3" s="4">
        <f>OCT!K3-OCT!L3</f>
        <v>0</v>
      </c>
      <c r="N3" s="4">
        <f>OCT!K3-OCT!L3</f>
        <v>0</v>
      </c>
      <c r="O3" s="4">
        <v>0</v>
      </c>
      <c r="P3" s="4">
        <v>0</v>
      </c>
      <c r="Q3" s="9"/>
      <c r="R3" s="9"/>
      <c r="S3" s="9"/>
      <c r="V3" s="2">
        <f>_xlfn.XLOOKUP(OCT!A:A,'SR-SS'!A:A,'SR-SS'!C:C)+TIME(0,30,0)</f>
        <v>0.772222222222222</v>
      </c>
      <c r="W3" s="2">
        <f>_xlfn.XLOOKUP(OCT!A:A,'SR-SS'!A:A,'SR-SS'!B:B)-TIME(0,30,0)</f>
        <v>0.240972222222222</v>
      </c>
    </row>
    <row r="4" spans="1:23">
      <c r="A4" s="6">
        <v>45933</v>
      </c>
      <c r="K4" s="4">
        <f>MOD(OCT!J4-OCT!I4,1)</f>
        <v>0</v>
      </c>
      <c r="L4" s="4">
        <f>IF(OCT!I4&lt;OCT!V4,MIN(OCT!V4-OCT!I4,OCT!K4),0)</f>
        <v>0</v>
      </c>
      <c r="M4" s="4">
        <f>OCT!K4-OCT!L4</f>
        <v>0</v>
      </c>
      <c r="N4" s="4">
        <f>OCT!K4-OCT!L4</f>
        <v>0</v>
      </c>
      <c r="O4" s="4">
        <v>0</v>
      </c>
      <c r="P4" s="4">
        <v>0</v>
      </c>
      <c r="Q4" s="9"/>
      <c r="R4" s="9"/>
      <c r="S4" s="9"/>
      <c r="V4" s="2">
        <f>_xlfn.XLOOKUP(OCT!A:A,'SR-SS'!A:A,'SR-SS'!C:C)+TIME(0,30,0)</f>
        <v>0.770833333333333</v>
      </c>
      <c r="W4" s="2">
        <f>_xlfn.XLOOKUP(OCT!A:A,'SR-SS'!A:A,'SR-SS'!B:B)-TIME(0,30,0)</f>
        <v>0.241666666666667</v>
      </c>
    </row>
    <row r="5" spans="1:23">
      <c r="A5" s="6">
        <v>45934</v>
      </c>
      <c r="K5" s="4">
        <f>MOD(OCT!J5-OCT!I5,1)</f>
        <v>0</v>
      </c>
      <c r="L5" s="4">
        <f>IF(OCT!I5&lt;OCT!V5,MIN(OCT!V5-OCT!I5,OCT!K5),0)</f>
        <v>0</v>
      </c>
      <c r="M5" s="4">
        <f>OCT!K5-OCT!L5</f>
        <v>0</v>
      </c>
      <c r="N5" s="4">
        <f>OCT!K5-OCT!L5</f>
        <v>0</v>
      </c>
      <c r="O5" s="4">
        <v>0</v>
      </c>
      <c r="P5" s="4">
        <v>0</v>
      </c>
      <c r="Q5" s="9"/>
      <c r="R5" s="9"/>
      <c r="S5" s="9"/>
      <c r="V5" s="2">
        <f>_xlfn.XLOOKUP(OCT!A:A,'SR-SS'!A:A,'SR-SS'!C:C)+TIME(0,30,0)</f>
        <v>0.770138888888889</v>
      </c>
      <c r="W5" s="2">
        <f>_xlfn.XLOOKUP(OCT!A:A,'SR-SS'!A:A,'SR-SS'!B:B)-TIME(0,30,0)</f>
        <v>0.242361111111111</v>
      </c>
    </row>
    <row r="6" spans="1:23">
      <c r="A6" s="6">
        <v>45935</v>
      </c>
      <c r="K6" s="4">
        <f>MOD(OCT!J6-OCT!I6,1)</f>
        <v>0</v>
      </c>
      <c r="L6" s="4">
        <f>IF(OCT!I6&lt;OCT!V6,MIN(OCT!V6-OCT!I6,OCT!K6),0)</f>
        <v>0</v>
      </c>
      <c r="M6" s="4">
        <f>OCT!K6-OCT!L6</f>
        <v>0</v>
      </c>
      <c r="N6" s="4">
        <f>OCT!K6-OCT!L6</f>
        <v>0</v>
      </c>
      <c r="O6" s="4">
        <v>0</v>
      </c>
      <c r="P6" s="4">
        <v>0</v>
      </c>
      <c r="Q6" s="9"/>
      <c r="R6" s="9"/>
      <c r="S6" s="9"/>
      <c r="V6" s="2">
        <f>_xlfn.XLOOKUP(OCT!A:A,'SR-SS'!A:A,'SR-SS'!C:C)+TIME(0,30,0)</f>
        <v>0.76875</v>
      </c>
      <c r="W6" s="2">
        <f>_xlfn.XLOOKUP(OCT!A:A,'SR-SS'!A:A,'SR-SS'!B:B)-TIME(0,30,0)</f>
        <v>0.242361111111111</v>
      </c>
    </row>
    <row r="7" spans="1:23">
      <c r="A7" s="6">
        <v>45936</v>
      </c>
      <c r="K7" s="4">
        <f>MOD(OCT!J7-OCT!I7,1)</f>
        <v>0</v>
      </c>
      <c r="L7" s="4">
        <f>IF(OCT!I7&lt;OCT!V7,MIN(OCT!V7-OCT!I7,OCT!K7),0)</f>
        <v>0</v>
      </c>
      <c r="M7" s="4">
        <f>OCT!K7-OCT!L7</f>
        <v>0</v>
      </c>
      <c r="N7" s="4">
        <f>OCT!K7-OCT!L7</f>
        <v>0</v>
      </c>
      <c r="O7" s="4">
        <v>0</v>
      </c>
      <c r="P7" s="4">
        <v>0</v>
      </c>
      <c r="Q7" s="9"/>
      <c r="R7" s="9"/>
      <c r="S7" s="9"/>
      <c r="V7" s="2">
        <f>_xlfn.XLOOKUP(OCT!A:A,'SR-SS'!A:A,'SR-SS'!C:C)+TIME(0,30,0)</f>
        <v>0.768055555555556</v>
      </c>
      <c r="W7" s="2">
        <f>_xlfn.XLOOKUP(OCT!A:A,'SR-SS'!A:A,'SR-SS'!B:B)-TIME(0,30,0)</f>
        <v>0.243055555555556</v>
      </c>
    </row>
    <row r="8" spans="1:23">
      <c r="A8" s="6">
        <v>45937</v>
      </c>
      <c r="K8" s="4">
        <f>MOD(OCT!J8-OCT!I8,1)</f>
        <v>0</v>
      </c>
      <c r="L8" s="4">
        <f>IF(OCT!I8&lt;OCT!V8,MIN(OCT!V8-OCT!I8,OCT!K8),0)</f>
        <v>0</v>
      </c>
      <c r="M8" s="4">
        <f>OCT!K8-OCT!L8</f>
        <v>0</v>
      </c>
      <c r="N8" s="4">
        <f>OCT!K8-OCT!L8</f>
        <v>0</v>
      </c>
      <c r="O8" s="4">
        <v>0</v>
      </c>
      <c r="P8" s="4">
        <v>0</v>
      </c>
      <c r="Q8" s="9"/>
      <c r="R8" s="9"/>
      <c r="S8" s="9"/>
      <c r="V8" s="2">
        <f>_xlfn.XLOOKUP(OCT!A:A,'SR-SS'!A:A,'SR-SS'!C:C)+TIME(0,30,0)</f>
        <v>0.766666666666667</v>
      </c>
      <c r="W8" s="2">
        <f>_xlfn.XLOOKUP(OCT!A:A,'SR-SS'!A:A,'SR-SS'!B:B)-TIME(0,30,0)</f>
        <v>0.24375</v>
      </c>
    </row>
    <row r="9" spans="1:23">
      <c r="A9" s="6">
        <v>45938</v>
      </c>
      <c r="K9" s="4">
        <f>MOD(OCT!J9-OCT!I9,1)</f>
        <v>0</v>
      </c>
      <c r="L9" s="4">
        <f>IF(OCT!I9&lt;OCT!V9,MIN(OCT!V9-OCT!I9,OCT!K9),0)</f>
        <v>0</v>
      </c>
      <c r="M9" s="4">
        <f>OCT!K9-OCT!L9</f>
        <v>0</v>
      </c>
      <c r="N9" s="4">
        <f>OCT!K9-OCT!L9</f>
        <v>0</v>
      </c>
      <c r="O9" s="4">
        <v>0</v>
      </c>
      <c r="P9" s="4">
        <v>0</v>
      </c>
      <c r="Q9" s="9"/>
      <c r="R9" s="9"/>
      <c r="S9" s="9"/>
      <c r="V9" s="2">
        <f>_xlfn.XLOOKUP(OCT!A:A,'SR-SS'!A:A,'SR-SS'!C:C)+TIME(0,30,0)</f>
        <v>0.765972222222222</v>
      </c>
      <c r="W9" s="2">
        <f>_xlfn.XLOOKUP(OCT!A:A,'SR-SS'!A:A,'SR-SS'!B:B)-TIME(0,30,0)</f>
        <v>0.244444444444444</v>
      </c>
    </row>
    <row r="10" spans="1:23">
      <c r="A10" s="6">
        <v>45939</v>
      </c>
      <c r="K10" s="4">
        <f>MOD(OCT!J10-OCT!I10,1)</f>
        <v>0</v>
      </c>
      <c r="L10" s="4">
        <f>IF(OCT!I10&lt;OCT!V10,MIN(OCT!V10-OCT!I10,OCT!K10),0)</f>
        <v>0</v>
      </c>
      <c r="M10" s="4">
        <f>OCT!K10-OCT!L10</f>
        <v>0</v>
      </c>
      <c r="N10" s="4">
        <f>OCT!K10-OCT!L10</f>
        <v>0</v>
      </c>
      <c r="O10" s="4">
        <v>0</v>
      </c>
      <c r="P10" s="4">
        <v>0</v>
      </c>
      <c r="Q10" s="9"/>
      <c r="R10" s="9"/>
      <c r="S10" s="9"/>
      <c r="V10" s="2">
        <f>_xlfn.XLOOKUP(OCT!A:A,'SR-SS'!A:A,'SR-SS'!C:C)+TIME(0,30,0)</f>
        <v>0.764583333333333</v>
      </c>
      <c r="W10" s="2">
        <f>_xlfn.XLOOKUP(OCT!A:A,'SR-SS'!A:A,'SR-SS'!B:B)-TIME(0,30,0)</f>
        <v>0.245138888888889</v>
      </c>
    </row>
    <row r="11" spans="1:23">
      <c r="A11" s="6">
        <v>45940</v>
      </c>
      <c r="I11" s="7"/>
      <c r="J11" s="7"/>
      <c r="K11" s="4">
        <f>MOD(OCT!J11-OCT!I11,1)</f>
        <v>0</v>
      </c>
      <c r="L11" s="4">
        <f>IF(OCT!I11&lt;OCT!V11,MIN(OCT!V11-OCT!I11,OCT!K11),0)</f>
        <v>0</v>
      </c>
      <c r="M11" s="4">
        <f>OCT!K11-OCT!L11</f>
        <v>0</v>
      </c>
      <c r="N11" s="4">
        <f>OCT!K11-OCT!L11</f>
        <v>0</v>
      </c>
      <c r="O11" s="4">
        <v>0</v>
      </c>
      <c r="P11" s="4">
        <v>0</v>
      </c>
      <c r="Q11" s="9"/>
      <c r="R11" s="9"/>
      <c r="S11" s="9"/>
      <c r="V11" s="2">
        <f>_xlfn.XLOOKUP(OCT!A:A,'SR-SS'!A:A,'SR-SS'!C:C)+TIME(0,30,0)</f>
        <v>0.763888888888889</v>
      </c>
      <c r="W11" s="2">
        <f>_xlfn.XLOOKUP(OCT!A:A,'SR-SS'!A:A,'SR-SS'!B:B)-TIME(0,30,0)</f>
        <v>0.245833333333333</v>
      </c>
    </row>
    <row r="12" spans="1:23">
      <c r="A12" s="6">
        <v>45941</v>
      </c>
      <c r="I12" s="7"/>
      <c r="J12" s="7"/>
      <c r="K12" s="4">
        <f>MOD(OCT!J12-OCT!I12,1)</f>
        <v>0</v>
      </c>
      <c r="L12" s="4">
        <f>IF(OCT!I12&lt;OCT!V12,MIN(OCT!V12-OCT!I12,OCT!K12),0)</f>
        <v>0</v>
      </c>
      <c r="M12" s="4">
        <f>OCT!K12-OCT!L12</f>
        <v>0</v>
      </c>
      <c r="N12" s="4">
        <f>OCT!K12-OCT!L12</f>
        <v>0</v>
      </c>
      <c r="O12" s="4">
        <v>0</v>
      </c>
      <c r="P12" s="4">
        <v>0</v>
      </c>
      <c r="Q12" s="9"/>
      <c r="R12" s="9"/>
      <c r="S12" s="9"/>
      <c r="T12" s="10"/>
      <c r="V12" s="2">
        <f>_xlfn.XLOOKUP(OCT!A:A,'SR-SS'!A:A,'SR-SS'!C:C)+TIME(0,30,0)</f>
        <v>0.7625</v>
      </c>
      <c r="W12" s="2">
        <f>_xlfn.XLOOKUP(OCT!A:A,'SR-SS'!A:A,'SR-SS'!B:B)-TIME(0,30,0)</f>
        <v>0.246527777777778</v>
      </c>
    </row>
    <row r="13" spans="1:23">
      <c r="A13" s="6">
        <v>45942</v>
      </c>
      <c r="K13" s="4">
        <f>MOD(OCT!J13-OCT!I13,1)</f>
        <v>0</v>
      </c>
      <c r="L13" s="4">
        <f>IF(OCT!I13&lt;OCT!V13,MIN(OCT!V13-OCT!I13,OCT!K13),0)</f>
        <v>0</v>
      </c>
      <c r="M13" s="4">
        <f>OCT!K13-OCT!L13</f>
        <v>0</v>
      </c>
      <c r="N13" s="4">
        <f>OCT!K13-OCT!L13</f>
        <v>0</v>
      </c>
      <c r="O13" s="4">
        <v>0</v>
      </c>
      <c r="P13" s="4">
        <v>0</v>
      </c>
      <c r="Q13" s="9"/>
      <c r="R13" s="9"/>
      <c r="S13" s="9"/>
      <c r="V13" s="2">
        <f>_xlfn.XLOOKUP(OCT!A:A,'SR-SS'!A:A,'SR-SS'!C:C)+TIME(0,30,0)</f>
        <v>0.761805555555556</v>
      </c>
      <c r="W13" s="2">
        <f>_xlfn.XLOOKUP(OCT!A:A,'SR-SS'!A:A,'SR-SS'!B:B)-TIME(0,30,0)</f>
        <v>0.247222222222222</v>
      </c>
    </row>
    <row r="14" spans="1:23">
      <c r="A14" s="6">
        <v>45943</v>
      </c>
      <c r="K14" s="4">
        <f>MOD(OCT!J14-OCT!I14,1)</f>
        <v>0</v>
      </c>
      <c r="L14" s="4">
        <f>IF(OCT!I14&lt;OCT!V14,MIN(OCT!V14-OCT!I14,OCT!K14),0)</f>
        <v>0</v>
      </c>
      <c r="M14" s="4">
        <f>OCT!K14-OCT!L14</f>
        <v>0</v>
      </c>
      <c r="N14" s="4">
        <f>OCT!K14-OCT!L14</f>
        <v>0</v>
      </c>
      <c r="O14" s="4">
        <v>0</v>
      </c>
      <c r="P14" s="4">
        <v>0</v>
      </c>
      <c r="Q14" s="9"/>
      <c r="R14" s="9"/>
      <c r="S14" s="9"/>
      <c r="V14" s="2">
        <f>_xlfn.XLOOKUP(OCT!A:A,'SR-SS'!A:A,'SR-SS'!C:C)+TIME(0,30,0)</f>
        <v>0.761111111111111</v>
      </c>
      <c r="W14" s="2">
        <f>_xlfn.XLOOKUP(OCT!A:A,'SR-SS'!A:A,'SR-SS'!B:B)-TIME(0,30,0)</f>
        <v>0.247916666666667</v>
      </c>
    </row>
    <row r="15" spans="1:23">
      <c r="A15" s="6">
        <v>45944</v>
      </c>
      <c r="K15" s="4">
        <f>MOD(OCT!J15-OCT!I15,1)</f>
        <v>0</v>
      </c>
      <c r="L15" s="4">
        <f>IF(OCT!I15&lt;OCT!V15,MIN(OCT!V15-OCT!I15,OCT!K15),0)</f>
        <v>0</v>
      </c>
      <c r="M15" s="4">
        <f>OCT!K15-OCT!L15</f>
        <v>0</v>
      </c>
      <c r="N15" s="4">
        <f>OCT!K15-OCT!L15</f>
        <v>0</v>
      </c>
      <c r="O15" s="4">
        <v>0</v>
      </c>
      <c r="P15" s="4">
        <v>0</v>
      </c>
      <c r="Q15" s="9"/>
      <c r="R15" s="9"/>
      <c r="S15" s="9"/>
      <c r="V15" s="2">
        <f>_xlfn.XLOOKUP(OCT!A:A,'SR-SS'!A:A,'SR-SS'!C:C)+TIME(0,30,0)</f>
        <v>0.759722222222222</v>
      </c>
      <c r="W15" s="2">
        <f>_xlfn.XLOOKUP(OCT!A:A,'SR-SS'!A:A,'SR-SS'!B:B)-TIME(0,30,0)</f>
        <v>0.247916666666667</v>
      </c>
    </row>
    <row r="16" spans="1:23">
      <c r="A16" s="6">
        <v>45945</v>
      </c>
      <c r="K16" s="4">
        <f>MOD(OCT!J16-OCT!I16,1)</f>
        <v>0</v>
      </c>
      <c r="L16" s="4">
        <f>IF(OCT!I16&lt;OCT!V16,MIN(OCT!V16-OCT!I16,OCT!K16),0)</f>
        <v>0</v>
      </c>
      <c r="M16" s="4">
        <f>OCT!K16-OCT!L16</f>
        <v>0</v>
      </c>
      <c r="N16" s="4">
        <f>OCT!K16-OCT!L16</f>
        <v>0</v>
      </c>
      <c r="O16" s="4">
        <v>0</v>
      </c>
      <c r="P16" s="4">
        <v>0</v>
      </c>
      <c r="Q16" s="9"/>
      <c r="R16" s="9"/>
      <c r="S16" s="9"/>
      <c r="V16" s="2">
        <f>_xlfn.XLOOKUP(OCT!A:A,'SR-SS'!A:A,'SR-SS'!C:C)+TIME(0,30,0)</f>
        <v>0.759027777777778</v>
      </c>
      <c r="W16" s="2">
        <f>_xlfn.XLOOKUP(OCT!A:A,'SR-SS'!A:A,'SR-SS'!B:B)-TIME(0,30,0)</f>
        <v>0.248611111111111</v>
      </c>
    </row>
    <row r="17" spans="1:23">
      <c r="A17" s="6">
        <v>45946</v>
      </c>
      <c r="K17" s="4">
        <f>MOD(OCT!J17-OCT!I17,1)</f>
        <v>0</v>
      </c>
      <c r="L17" s="4">
        <f>IF(OCT!I17&lt;OCT!V17,MIN(OCT!V17-OCT!I17,OCT!K17),0)</f>
        <v>0</v>
      </c>
      <c r="M17" s="4">
        <f>OCT!K17-OCT!L17</f>
        <v>0</v>
      </c>
      <c r="N17" s="4">
        <f>OCT!K17-OCT!L17</f>
        <v>0</v>
      </c>
      <c r="O17" s="4">
        <v>0</v>
      </c>
      <c r="P17" s="4">
        <v>0</v>
      </c>
      <c r="Q17" s="9"/>
      <c r="R17" s="9"/>
      <c r="S17" s="9"/>
      <c r="V17" s="2">
        <f>_xlfn.XLOOKUP(OCT!A:A,'SR-SS'!A:A,'SR-SS'!C:C)+TIME(0,30,0)</f>
        <v>0.758333333333333</v>
      </c>
      <c r="W17" s="2">
        <f>_xlfn.XLOOKUP(OCT!A:A,'SR-SS'!A:A,'SR-SS'!B:B)-TIME(0,30,0)</f>
        <v>0.249305555555556</v>
      </c>
    </row>
    <row r="18" spans="1:23">
      <c r="A18" s="6">
        <v>45947</v>
      </c>
      <c r="K18" s="4">
        <f>MOD(OCT!J18-OCT!I18,1)</f>
        <v>0</v>
      </c>
      <c r="L18" s="4">
        <f>IF(OCT!I18&lt;OCT!V18,MIN(OCT!V18-OCT!I18,OCT!K18),0)</f>
        <v>0</v>
      </c>
      <c r="M18" s="4">
        <f>OCT!K18-OCT!L18</f>
        <v>0</v>
      </c>
      <c r="N18" s="4">
        <f>OCT!K18-OCT!L18</f>
        <v>0</v>
      </c>
      <c r="O18" s="4">
        <v>0</v>
      </c>
      <c r="P18" s="4">
        <v>0</v>
      </c>
      <c r="Q18" s="9"/>
      <c r="R18" s="9"/>
      <c r="S18" s="9"/>
      <c r="V18" s="2">
        <f>_xlfn.XLOOKUP(OCT!A:A,'SR-SS'!A:A,'SR-SS'!C:C)+TIME(0,30,0)</f>
        <v>0.756944444444445</v>
      </c>
      <c r="W18" s="2">
        <f>_xlfn.XLOOKUP(OCT!A:A,'SR-SS'!A:A,'SR-SS'!B:B)-TIME(0,30,0)</f>
        <v>0.25</v>
      </c>
    </row>
    <row r="19" spans="1:23">
      <c r="A19" s="6">
        <v>45948</v>
      </c>
      <c r="K19" s="4">
        <f>MOD(OCT!J19-OCT!I19,1)</f>
        <v>0</v>
      </c>
      <c r="L19" s="4">
        <f>IF(OCT!I19&lt;OCT!V19,MIN(OCT!V19-OCT!I19,OCT!K19),0)</f>
        <v>0</v>
      </c>
      <c r="M19" s="4">
        <f>OCT!K19-OCT!L19</f>
        <v>0</v>
      </c>
      <c r="N19" s="4">
        <f>OCT!K19-OCT!L19</f>
        <v>0</v>
      </c>
      <c r="O19" s="4">
        <v>0</v>
      </c>
      <c r="P19" s="4">
        <v>0</v>
      </c>
      <c r="Q19" s="9"/>
      <c r="R19" s="9"/>
      <c r="S19" s="9"/>
      <c r="V19" s="2">
        <f>_xlfn.XLOOKUP(OCT!A:A,'SR-SS'!A:A,'SR-SS'!C:C)+TIME(0,30,0)</f>
        <v>0.75625</v>
      </c>
      <c r="W19" s="2">
        <f>_xlfn.XLOOKUP(OCT!A:A,'SR-SS'!A:A,'SR-SS'!B:B)-TIME(0,30,0)</f>
        <v>0.250694444444444</v>
      </c>
    </row>
    <row r="20" spans="1:23">
      <c r="A20" s="6">
        <v>45949</v>
      </c>
      <c r="K20" s="4">
        <f>MOD(OCT!J20-OCT!I20,1)</f>
        <v>0</v>
      </c>
      <c r="L20" s="4">
        <f>IF(OCT!I20&lt;OCT!V20,MIN(OCT!V20-OCT!I20,OCT!K20),0)</f>
        <v>0</v>
      </c>
      <c r="M20" s="4">
        <f>OCT!K20-OCT!L20</f>
        <v>0</v>
      </c>
      <c r="N20" s="4">
        <f>OCT!K20-OCT!L20</f>
        <v>0</v>
      </c>
      <c r="O20" s="4">
        <v>0</v>
      </c>
      <c r="P20" s="4">
        <v>0</v>
      </c>
      <c r="Q20" s="9"/>
      <c r="R20" s="9"/>
      <c r="S20" s="9"/>
      <c r="V20" s="2">
        <f>_xlfn.XLOOKUP(OCT!A:A,'SR-SS'!A:A,'SR-SS'!C:C)+TIME(0,30,0)</f>
        <v>0.755555555555556</v>
      </c>
      <c r="W20" s="2">
        <f>_xlfn.XLOOKUP(OCT!A:A,'SR-SS'!A:A,'SR-SS'!B:B)-TIME(0,30,0)</f>
        <v>0.251388888888889</v>
      </c>
    </row>
    <row r="21" spans="1:23">
      <c r="A21" s="6">
        <v>45950</v>
      </c>
      <c r="K21" s="4">
        <f>MOD(OCT!J21-OCT!I21,1)</f>
        <v>0</v>
      </c>
      <c r="L21" s="4">
        <f>IF(OCT!I21&lt;OCT!V21,MIN(OCT!V21-OCT!I21,OCT!K21),0)</f>
        <v>0</v>
      </c>
      <c r="M21" s="4">
        <f>OCT!K21-OCT!L21</f>
        <v>0</v>
      </c>
      <c r="N21" s="4">
        <f>OCT!K21-OCT!L21</f>
        <v>0</v>
      </c>
      <c r="O21" s="4">
        <v>0</v>
      </c>
      <c r="P21" s="4">
        <v>0</v>
      </c>
      <c r="Q21" s="9"/>
      <c r="R21" s="9"/>
      <c r="S21" s="9"/>
      <c r="V21" s="2">
        <f>_xlfn.XLOOKUP(OCT!A:A,'SR-SS'!A:A,'SR-SS'!C:C)+TIME(0,30,0)</f>
        <v>0.754166666666667</v>
      </c>
      <c r="W21" s="2">
        <f>_xlfn.XLOOKUP(OCT!A:A,'SR-SS'!A:A,'SR-SS'!B:B)-TIME(0,30,0)</f>
        <v>0.252083333333333</v>
      </c>
    </row>
    <row r="22" spans="1:23">
      <c r="A22" s="6">
        <v>45951</v>
      </c>
      <c r="K22" s="4">
        <f>MOD(OCT!J22-OCT!I22,1)</f>
        <v>0</v>
      </c>
      <c r="L22" s="4">
        <f>IF(OCT!I22&lt;OCT!V22,MIN(OCT!V22-OCT!I22,OCT!K22),0)</f>
        <v>0</v>
      </c>
      <c r="M22" s="4">
        <f>OCT!K22-OCT!L22</f>
        <v>0</v>
      </c>
      <c r="N22" s="4">
        <f>OCT!K22-OCT!L22</f>
        <v>0</v>
      </c>
      <c r="O22" s="4">
        <v>0</v>
      </c>
      <c r="P22" s="4">
        <v>0</v>
      </c>
      <c r="Q22" s="9"/>
      <c r="R22" s="9"/>
      <c r="S22" s="9"/>
      <c r="V22" s="2">
        <f>_xlfn.XLOOKUP(OCT!A:A,'SR-SS'!A:A,'SR-SS'!C:C)+TIME(0,30,0)</f>
        <v>0.753472222222222</v>
      </c>
      <c r="W22" s="2">
        <f>_xlfn.XLOOKUP(OCT!A:A,'SR-SS'!A:A,'SR-SS'!B:B)-TIME(0,30,0)</f>
        <v>0.252777777777778</v>
      </c>
    </row>
    <row r="23" spans="1:23">
      <c r="A23" s="6">
        <v>45952</v>
      </c>
      <c r="K23" s="4">
        <f>MOD(OCT!J23-OCT!I23,1)</f>
        <v>0</v>
      </c>
      <c r="L23" s="4">
        <f>IF(OCT!I23&lt;OCT!V23,MIN(OCT!V23-OCT!I23,OCT!K23),0)</f>
        <v>0</v>
      </c>
      <c r="M23" s="4">
        <f>OCT!K23-OCT!L23</f>
        <v>0</v>
      </c>
      <c r="N23" s="4">
        <f>OCT!K23-OCT!L23</f>
        <v>0</v>
      </c>
      <c r="O23" s="4">
        <v>0</v>
      </c>
      <c r="P23" s="4">
        <v>0</v>
      </c>
      <c r="Q23" s="9"/>
      <c r="R23" s="9"/>
      <c r="S23" s="9"/>
      <c r="V23" s="2">
        <f>_xlfn.XLOOKUP(OCT!A:A,'SR-SS'!A:A,'SR-SS'!C:C)+TIME(0,30,0)</f>
        <v>0.752777777777778</v>
      </c>
      <c r="W23" s="2">
        <f>_xlfn.XLOOKUP(OCT!A:A,'SR-SS'!A:A,'SR-SS'!B:B)-TIME(0,30,0)</f>
        <v>0.253472222222222</v>
      </c>
    </row>
    <row r="24" spans="1:23">
      <c r="A24" s="6">
        <v>45953</v>
      </c>
      <c r="K24" s="4">
        <f>MOD(OCT!J24-OCT!I24,1)</f>
        <v>0</v>
      </c>
      <c r="L24" s="4">
        <f>IF(OCT!I24&lt;OCT!V24,MIN(OCT!V24-OCT!I24,OCT!K24),0)</f>
        <v>0</v>
      </c>
      <c r="M24" s="4">
        <f>OCT!K24-OCT!L24</f>
        <v>0</v>
      </c>
      <c r="N24" s="4">
        <f>OCT!K24-OCT!L24</f>
        <v>0</v>
      </c>
      <c r="O24" s="4">
        <v>0</v>
      </c>
      <c r="P24" s="4">
        <v>0</v>
      </c>
      <c r="Q24" s="9"/>
      <c r="R24" s="9"/>
      <c r="S24" s="9"/>
      <c r="V24" s="2">
        <f>_xlfn.XLOOKUP(OCT!A:A,'SR-SS'!A:A,'SR-SS'!C:C)+TIME(0,30,0)</f>
        <v>0.751388888888889</v>
      </c>
      <c r="W24" s="2">
        <f>_xlfn.XLOOKUP(OCT!A:A,'SR-SS'!A:A,'SR-SS'!B:B)-TIME(0,30,0)</f>
        <v>0.254166666666667</v>
      </c>
    </row>
    <row r="25" spans="1:23">
      <c r="A25" s="6">
        <v>45954</v>
      </c>
      <c r="K25" s="4">
        <f>MOD(OCT!J25-OCT!I25,1)</f>
        <v>0</v>
      </c>
      <c r="L25" s="4">
        <f>IF(OCT!I25&lt;OCT!V25,MIN(OCT!V25-OCT!I25,OCT!K25),0)</f>
        <v>0</v>
      </c>
      <c r="M25" s="4">
        <f>OCT!K25-OCT!L25</f>
        <v>0</v>
      </c>
      <c r="N25" s="4">
        <f>OCT!K25-OCT!L25</f>
        <v>0</v>
      </c>
      <c r="O25" s="4">
        <v>0</v>
      </c>
      <c r="P25" s="4">
        <v>0</v>
      </c>
      <c r="Q25" s="9"/>
      <c r="R25" s="9"/>
      <c r="S25" s="9"/>
      <c r="V25" s="2">
        <f>_xlfn.XLOOKUP(OCT!A:A,'SR-SS'!A:A,'SR-SS'!C:C)+TIME(0,30,0)</f>
        <v>0.750694444444444</v>
      </c>
      <c r="W25" s="2">
        <f>_xlfn.XLOOKUP(OCT!A:A,'SR-SS'!A:A,'SR-SS'!B:B)-TIME(0,30,0)</f>
        <v>0.254861111111111</v>
      </c>
    </row>
    <row r="26" spans="1:23">
      <c r="A26" s="6">
        <v>45955</v>
      </c>
      <c r="K26" s="4">
        <f>MOD(OCT!J26-OCT!I26,1)</f>
        <v>0</v>
      </c>
      <c r="L26" s="4">
        <f>IF(OCT!I26&lt;OCT!V26,MIN(OCT!V26-OCT!I26,OCT!K26),0)</f>
        <v>0</v>
      </c>
      <c r="M26" s="4">
        <f>OCT!K26-OCT!L26</f>
        <v>0</v>
      </c>
      <c r="N26" s="4">
        <f>OCT!K26-OCT!L26</f>
        <v>0</v>
      </c>
      <c r="O26" s="4">
        <v>0</v>
      </c>
      <c r="P26" s="4">
        <v>0</v>
      </c>
      <c r="Q26" s="9"/>
      <c r="R26" s="9"/>
      <c r="S26" s="9"/>
      <c r="V26" s="2">
        <f>_xlfn.XLOOKUP(OCT!A:A,'SR-SS'!A:A,'SR-SS'!C:C)+TIME(0,30,0)</f>
        <v>0.75</v>
      </c>
      <c r="W26" s="2">
        <f>_xlfn.XLOOKUP(OCT!A:A,'SR-SS'!A:A,'SR-SS'!B:B)-TIME(0,30,0)</f>
        <v>0.255555555555556</v>
      </c>
    </row>
    <row r="27" spans="1:23">
      <c r="A27" s="6">
        <v>45956</v>
      </c>
      <c r="K27" s="4">
        <f>MOD(OCT!J27-OCT!I27,1)</f>
        <v>0</v>
      </c>
      <c r="L27" s="4">
        <f>IF(OCT!I27&lt;OCT!V27,MIN(OCT!V27-OCT!I27,OCT!K27),0)</f>
        <v>0</v>
      </c>
      <c r="M27" s="4">
        <f>OCT!K27-OCT!L27</f>
        <v>0</v>
      </c>
      <c r="N27" s="4">
        <f>OCT!K27-OCT!L27</f>
        <v>0</v>
      </c>
      <c r="O27" s="4">
        <v>0</v>
      </c>
      <c r="P27" s="4">
        <v>0</v>
      </c>
      <c r="Q27" s="9"/>
      <c r="R27" s="9"/>
      <c r="S27" s="9"/>
      <c r="V27" s="2">
        <f>_xlfn.XLOOKUP(OCT!A:A,'SR-SS'!A:A,'SR-SS'!C:C)+TIME(0,30,0)</f>
        <v>0.749305555555556</v>
      </c>
      <c r="W27" s="2">
        <f>_xlfn.XLOOKUP(OCT!A:A,'SR-SS'!A:A,'SR-SS'!B:B)-TIME(0,30,0)</f>
        <v>0.25625</v>
      </c>
    </row>
    <row r="28" spans="1:23">
      <c r="A28" s="6">
        <v>45957</v>
      </c>
      <c r="K28" s="4">
        <f>MOD(OCT!J28-OCT!I28,1)</f>
        <v>0</v>
      </c>
      <c r="L28" s="4">
        <f>IF(OCT!I28&lt;OCT!V28,MIN(OCT!V28-OCT!I28,OCT!K28),0)</f>
        <v>0</v>
      </c>
      <c r="M28" s="4">
        <f>OCT!K28-OCT!L28</f>
        <v>0</v>
      </c>
      <c r="N28" s="4">
        <f>OCT!K28-OCT!L28</f>
        <v>0</v>
      </c>
      <c r="O28" s="4">
        <v>0</v>
      </c>
      <c r="P28" s="4">
        <v>0</v>
      </c>
      <c r="Q28" s="9"/>
      <c r="R28" s="9"/>
      <c r="S28" s="9"/>
      <c r="V28" s="2">
        <f>_xlfn.XLOOKUP(OCT!A:A,'SR-SS'!A:A,'SR-SS'!C:C)+TIME(0,30,0)</f>
        <v>0.748611111111111</v>
      </c>
      <c r="W28" s="2">
        <f>_xlfn.XLOOKUP(OCT!A:A,'SR-SS'!A:A,'SR-SS'!B:B)-TIME(0,30,0)</f>
        <v>0.256944444444444</v>
      </c>
    </row>
    <row r="29" spans="1:23">
      <c r="A29" s="6">
        <v>45958</v>
      </c>
      <c r="K29" s="4">
        <f>MOD(OCT!J29-OCT!I29,1)</f>
        <v>0</v>
      </c>
      <c r="L29" s="4">
        <f>IF(OCT!I29&lt;OCT!V29,MIN(OCT!V29-OCT!I29,OCT!K29),0)</f>
        <v>0</v>
      </c>
      <c r="M29" s="4">
        <f>OCT!K29-OCT!L29</f>
        <v>0</v>
      </c>
      <c r="N29" s="4">
        <f>OCT!K29-OCT!L29</f>
        <v>0</v>
      </c>
      <c r="O29" s="4">
        <v>0</v>
      </c>
      <c r="P29" s="4">
        <v>0</v>
      </c>
      <c r="Q29" s="9"/>
      <c r="R29" s="9"/>
      <c r="S29" s="9"/>
      <c r="V29" s="2">
        <f>_xlfn.XLOOKUP(OCT!A:A,'SR-SS'!A:A,'SR-SS'!C:C)+TIME(0,30,0)</f>
        <v>0.747222222222222</v>
      </c>
      <c r="W29" s="2">
        <f>_xlfn.XLOOKUP(OCT!A:A,'SR-SS'!A:A,'SR-SS'!B:B)-TIME(0,30,0)</f>
        <v>0.257638888888889</v>
      </c>
    </row>
    <row r="30" spans="1:23">
      <c r="A30" s="6">
        <v>45959</v>
      </c>
      <c r="K30" s="4">
        <f>MOD(OCT!J30-OCT!I30,1)</f>
        <v>0</v>
      </c>
      <c r="L30" s="4">
        <f>IF(OCT!I30&lt;OCT!V30,MIN(OCT!V30-OCT!I30,OCT!K30),0)</f>
        <v>0</v>
      </c>
      <c r="M30" s="4">
        <f>OCT!K30-OCT!L30</f>
        <v>0</v>
      </c>
      <c r="N30" s="4">
        <f>OCT!K30-OCT!L30</f>
        <v>0</v>
      </c>
      <c r="O30" s="4">
        <v>0</v>
      </c>
      <c r="P30" s="4">
        <v>0</v>
      </c>
      <c r="Q30" s="9"/>
      <c r="R30" s="9"/>
      <c r="S30" s="9"/>
      <c r="V30" s="2">
        <f>_xlfn.XLOOKUP(OCT!A:A,'SR-SS'!A:A,'SR-SS'!C:C)+TIME(0,30,0)</f>
        <v>0.746527777777778</v>
      </c>
      <c r="W30" s="2">
        <f>_xlfn.XLOOKUP(OCT!A:A,'SR-SS'!A:A,'SR-SS'!B:B)-TIME(0,30,0)</f>
        <v>0.258333333333333</v>
      </c>
    </row>
    <row r="31" spans="1:23">
      <c r="A31" s="6">
        <v>45960</v>
      </c>
      <c r="K31" s="4">
        <f>MOD(OCT!J31-OCT!I31,1)</f>
        <v>0</v>
      </c>
      <c r="L31" s="4">
        <f>IF(OCT!I31&lt;OCT!V31,MIN(OCT!V31-OCT!I31,OCT!K31),0)</f>
        <v>0</v>
      </c>
      <c r="M31" s="4">
        <f>OCT!K31-OCT!L31</f>
        <v>0</v>
      </c>
      <c r="N31" s="4">
        <f>OCT!K31-OCT!L31</f>
        <v>0</v>
      </c>
      <c r="O31" s="4">
        <v>0</v>
      </c>
      <c r="P31" s="4">
        <v>0</v>
      </c>
      <c r="Q31" s="9"/>
      <c r="R31" s="9"/>
      <c r="S31" s="9"/>
      <c r="V31" s="2">
        <f>_xlfn.XLOOKUP(OCT!A:A,'SR-SS'!A:A,'SR-SS'!C:C)+TIME(0,30,0)</f>
        <v>0.745833333333333</v>
      </c>
      <c r="W31" s="2">
        <f>_xlfn.XLOOKUP(OCT!A:A,'SR-SS'!A:A,'SR-SS'!B:B)-TIME(0,30,0)</f>
        <v>0.259027777777778</v>
      </c>
    </row>
    <row r="32" spans="1:23">
      <c r="A32" s="6">
        <v>45961</v>
      </c>
      <c r="K32" s="4">
        <f>MOD(OCT!J32-OCT!I32,1)</f>
        <v>0</v>
      </c>
      <c r="L32" s="4">
        <f>IF(OCT!I32&lt;OCT!V32,MIN(OCT!V32-OCT!I32,OCT!K32),0)</f>
        <v>0</v>
      </c>
      <c r="M32" s="4">
        <f>OCT!K32-OCT!L32</f>
        <v>0</v>
      </c>
      <c r="N32" s="4">
        <f>OCT!K32-OCT!L32</f>
        <v>0</v>
      </c>
      <c r="O32" s="4">
        <v>0</v>
      </c>
      <c r="P32" s="4">
        <v>0</v>
      </c>
      <c r="Q32" s="9"/>
      <c r="R32" s="9"/>
      <c r="S32" s="9"/>
      <c r="V32" s="2">
        <f>_xlfn.XLOOKUP(OCT!A:A,'SR-SS'!A:A,'SR-SS'!C:C)+TIME(0,30,0)</f>
        <v>0.745138888888889</v>
      </c>
      <c r="W32" s="2">
        <f>_xlfn.XLOOKUP(OCT!A:A,'SR-SS'!A:A,'SR-SS'!B:B)-TIME(0,30,0)</f>
        <v>0.259722222222222</v>
      </c>
    </row>
    <row r="33" spans="1:19">
      <c r="A33" s="6" t="s">
        <v>39</v>
      </c>
      <c r="K33" s="7">
        <f>SUM(Table14[Flight Duration])</f>
        <v>0</v>
      </c>
      <c r="L33" s="4">
        <f>SUM(Table14[Day Duration])</f>
        <v>0</v>
      </c>
      <c r="M33" s="4">
        <f>SUM(Table14[Night Duration])</f>
        <v>0</v>
      </c>
      <c r="N33" s="4">
        <f>SUM(Table14[NVG Duration])</f>
        <v>0</v>
      </c>
      <c r="O33" s="4">
        <f>SUM(Table14[Simulated IFR])</f>
        <v>0</v>
      </c>
      <c r="P33" s="4">
        <f>SUM(Table14[Real IFR])</f>
        <v>0</v>
      </c>
      <c r="Q33" s="9">
        <f>SUM(Table14[Takeoffs])</f>
        <v>0</v>
      </c>
      <c r="R33" s="9">
        <f>SUM(Table14[Landings])</f>
        <v>0</v>
      </c>
      <c r="S33" s="9">
        <f>SUM(Table14[Inst. Apps])</f>
        <v>0</v>
      </c>
    </row>
  </sheetData>
  <printOptions headings="1"/>
  <pageMargins left="0.75" right="0.75" top="1" bottom="1" header="0.5" footer="0.5"/>
  <pageSetup paperSize="9" scale="40" fitToWidth="0" fitToHeight="0" orientation="landscape" horizontalDpi="600" verticalDpi="600"/>
  <headerFooter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2"/>
  <sheetViews>
    <sheetView workbookViewId="0">
      <selection activeCell="I1" sqref="I$1:I$1048576"/>
    </sheetView>
  </sheetViews>
  <sheetFormatPr defaultColWidth="9" defaultRowHeight="14.25"/>
  <cols>
    <col min="1" max="1" width="10.7890625" style="6" customWidth="1"/>
    <col min="2" max="2" width="16.5546875" style="1" customWidth="1"/>
    <col min="3" max="3" width="18.375" style="1" customWidth="1"/>
    <col min="4" max="4" width="17.7265625" style="1" customWidth="1"/>
    <col min="5" max="5" width="15.90625" style="1" customWidth="1"/>
    <col min="6" max="6" width="12.796875" style="1" customWidth="1"/>
    <col min="7" max="8" width="12.421875" style="1" customWidth="1"/>
    <col min="9" max="9" width="13.578125" style="1" customWidth="1"/>
    <col min="10" max="10" width="16.03125" style="1" customWidth="1"/>
    <col min="11" max="11" width="20.1953125" style="1" customWidth="1"/>
    <col min="12" max="12" width="18.6328125" style="1" customWidth="1"/>
    <col min="13" max="13" width="20.1953125" style="1" customWidth="1"/>
    <col min="14" max="14" width="19.28125" style="1" customWidth="1"/>
    <col min="15" max="15" width="18.890625" style="1" customWidth="1"/>
    <col min="16" max="16" width="13.8515625" style="1" customWidth="1"/>
    <col min="17" max="18" width="10.0078125" style="1" customWidth="1"/>
    <col min="19" max="19" width="10.140625" style="1" customWidth="1"/>
    <col min="20" max="20" width="35.8515625" style="1" customWidth="1"/>
    <col min="21" max="21" width="9" style="1"/>
    <col min="22" max="22" width="10.2734375"/>
    <col min="23" max="23" width="10.2734375" style="4"/>
    <col min="24" max="16384" width="9" style="1"/>
  </cols>
  <sheetData>
    <row r="1" s="5" customFormat="1" spans="1:23">
      <c r="A1" s="5" t="s">
        <v>0</v>
      </c>
      <c r="B1" s="5" t="s">
        <v>1</v>
      </c>
      <c r="C1" s="5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5" t="s">
        <v>10</v>
      </c>
      <c r="L1" s="5" t="s">
        <v>11</v>
      </c>
      <c r="M1" s="5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" t="s">
        <v>18</v>
      </c>
      <c r="T1" s="1" t="s">
        <v>19</v>
      </c>
      <c r="V1" s="11" t="s">
        <v>20</v>
      </c>
      <c r="W1" s="11" t="s">
        <v>21</v>
      </c>
    </row>
    <row r="2" spans="1:23">
      <c r="A2" s="6">
        <v>45962</v>
      </c>
      <c r="K2" s="4">
        <f>MOD(NOV!J2-NOV!I2,1)</f>
        <v>0</v>
      </c>
      <c r="L2" s="4">
        <f>IF(NOV!I2&lt;NOV!V2,MIN(NOV!V2-NOV!I2,NOV!K2),0)</f>
        <v>0</v>
      </c>
      <c r="M2" s="4">
        <f>NOV!K2-NOV!L2</f>
        <v>0</v>
      </c>
      <c r="N2" s="4">
        <f>NOV!K2-NOV!L2</f>
        <v>0</v>
      </c>
      <c r="O2" s="4">
        <v>0</v>
      </c>
      <c r="P2" s="4">
        <v>0</v>
      </c>
      <c r="Q2" s="9"/>
      <c r="R2" s="9"/>
      <c r="S2" s="9"/>
      <c r="V2" s="2">
        <f>_xlfn.XLOOKUP(NOV!A:A,'SR-SS'!A:A,'SR-SS'!C:C)+TIME(0,30,0)</f>
        <v>0.744444444444444</v>
      </c>
      <c r="W2" s="2">
        <f>_xlfn.XLOOKUP(NOV!A:A,'SR-SS'!A:A,'SR-SS'!B:B)-TIME(0,30,0)</f>
        <v>0.260416666666667</v>
      </c>
    </row>
    <row r="3" spans="1:23">
      <c r="A3" s="6">
        <v>45963</v>
      </c>
      <c r="K3" s="4">
        <f>MOD(NOV!J3-NOV!I3,1)</f>
        <v>0</v>
      </c>
      <c r="L3" s="4">
        <f>IF(NOV!I3&lt;NOV!V3,MIN(NOV!V3-NOV!I3,NOV!K3),0)</f>
        <v>0</v>
      </c>
      <c r="M3" s="4">
        <f>NOV!K3-NOV!L3</f>
        <v>0</v>
      </c>
      <c r="N3" s="4">
        <f>NOV!K3-NOV!L3</f>
        <v>0</v>
      </c>
      <c r="O3" s="4">
        <v>0</v>
      </c>
      <c r="P3" s="4">
        <v>0</v>
      </c>
      <c r="Q3" s="9"/>
      <c r="R3" s="9"/>
      <c r="S3" s="9"/>
      <c r="V3" s="2">
        <f>_xlfn.XLOOKUP(NOV!A:A,'SR-SS'!A:A,'SR-SS'!C:C)+TIME(0,30,0)</f>
        <v>0.74375</v>
      </c>
      <c r="W3" s="2">
        <f>_xlfn.XLOOKUP(NOV!A:A,'SR-SS'!A:A,'SR-SS'!B:B)-TIME(0,30,0)</f>
        <v>0.261111111111111</v>
      </c>
    </row>
    <row r="4" spans="1:23">
      <c r="A4" s="6">
        <v>45964</v>
      </c>
      <c r="K4" s="4">
        <f>MOD(NOV!J4-NOV!I4,1)</f>
        <v>0</v>
      </c>
      <c r="L4" s="4">
        <f>IF(NOV!I4&lt;NOV!V4,MIN(NOV!V4-NOV!I4,NOV!K4),0)</f>
        <v>0</v>
      </c>
      <c r="M4" s="4">
        <f>NOV!K4-NOV!L4</f>
        <v>0</v>
      </c>
      <c r="N4" s="4">
        <f>NOV!K4-NOV!L4</f>
        <v>0</v>
      </c>
      <c r="O4" s="4">
        <v>0</v>
      </c>
      <c r="P4" s="4">
        <v>0</v>
      </c>
      <c r="Q4" s="9"/>
      <c r="R4" s="9"/>
      <c r="S4" s="9"/>
      <c r="V4" s="2">
        <f>_xlfn.XLOOKUP(NOV!A:A,'SR-SS'!A:A,'SR-SS'!C:C)+TIME(0,30,0)</f>
        <v>0.743055555555556</v>
      </c>
      <c r="W4" s="2">
        <f>_xlfn.XLOOKUP(NOV!A:A,'SR-SS'!A:A,'SR-SS'!B:B)-TIME(0,30,0)</f>
        <v>0.261805555555556</v>
      </c>
    </row>
    <row r="5" spans="1:23">
      <c r="A5" s="6">
        <v>45965</v>
      </c>
      <c r="K5" s="4">
        <f>MOD(NOV!J5-NOV!I5,1)</f>
        <v>0</v>
      </c>
      <c r="L5" s="4">
        <f>IF(NOV!I5&lt;NOV!V5,MIN(NOV!V5-NOV!I5,NOV!K5),0)</f>
        <v>0</v>
      </c>
      <c r="M5" s="4">
        <f>NOV!K5-NOV!L5</f>
        <v>0</v>
      </c>
      <c r="N5" s="4">
        <f>NOV!K5-NOV!L5</f>
        <v>0</v>
      </c>
      <c r="O5" s="4">
        <v>0</v>
      </c>
      <c r="P5" s="4">
        <v>0</v>
      </c>
      <c r="Q5" s="9"/>
      <c r="R5" s="9"/>
      <c r="S5" s="9"/>
      <c r="V5" s="2">
        <f>_xlfn.XLOOKUP(NOV!A:A,'SR-SS'!A:A,'SR-SS'!C:C)+TIME(0,30,0)</f>
        <v>0.742361111111111</v>
      </c>
      <c r="W5" s="2">
        <f>_xlfn.XLOOKUP(NOV!A:A,'SR-SS'!A:A,'SR-SS'!B:B)-TIME(0,30,0)</f>
        <v>0.2625</v>
      </c>
    </row>
    <row r="6" spans="1:23">
      <c r="A6" s="6">
        <v>45966</v>
      </c>
      <c r="K6" s="4">
        <f>MOD(NOV!J6-NOV!I6,1)</f>
        <v>0</v>
      </c>
      <c r="L6" s="4">
        <f>IF(NOV!I6&lt;NOV!V6,MIN(NOV!V6-NOV!I6,NOV!K6),0)</f>
        <v>0</v>
      </c>
      <c r="M6" s="4">
        <f>NOV!K6-NOV!L6</f>
        <v>0</v>
      </c>
      <c r="N6" s="4">
        <f>NOV!K6-NOV!L6</f>
        <v>0</v>
      </c>
      <c r="O6" s="4">
        <v>0</v>
      </c>
      <c r="P6" s="4">
        <v>0</v>
      </c>
      <c r="Q6" s="9"/>
      <c r="R6" s="9"/>
      <c r="S6" s="9"/>
      <c r="V6" s="2">
        <f>_xlfn.XLOOKUP(NOV!A:A,'SR-SS'!A:A,'SR-SS'!C:C)+TIME(0,30,0)</f>
        <v>0.741666666666667</v>
      </c>
      <c r="W6" s="2">
        <f>_xlfn.XLOOKUP(NOV!A:A,'SR-SS'!A:A,'SR-SS'!B:B)-TIME(0,30,0)</f>
        <v>0.263194444444444</v>
      </c>
    </row>
    <row r="7" spans="1:23">
      <c r="A7" s="6">
        <v>45967</v>
      </c>
      <c r="K7" s="4">
        <f>MOD(NOV!J7-NOV!I7,1)</f>
        <v>0</v>
      </c>
      <c r="L7" s="4">
        <f>IF(NOV!I7&lt;NOV!V7,MIN(NOV!V7-NOV!I7,NOV!K7),0)</f>
        <v>0</v>
      </c>
      <c r="M7" s="4">
        <f>NOV!K7-NOV!L7</f>
        <v>0</v>
      </c>
      <c r="N7" s="4">
        <f>NOV!K7-NOV!L7</f>
        <v>0</v>
      </c>
      <c r="O7" s="4">
        <v>0</v>
      </c>
      <c r="P7" s="4">
        <v>0</v>
      </c>
      <c r="Q7" s="9"/>
      <c r="R7" s="9"/>
      <c r="S7" s="9"/>
      <c r="V7" s="2">
        <f>_xlfn.XLOOKUP(NOV!A:A,'SR-SS'!A:A,'SR-SS'!C:C)+TIME(0,30,0)</f>
        <v>0.740972222222222</v>
      </c>
      <c r="W7" s="2">
        <f>_xlfn.XLOOKUP(NOV!A:A,'SR-SS'!A:A,'SR-SS'!B:B)-TIME(0,30,0)</f>
        <v>0.263888888888889</v>
      </c>
    </row>
    <row r="8" spans="1:23">
      <c r="A8" s="6">
        <v>45968</v>
      </c>
      <c r="K8" s="4">
        <f>MOD(NOV!J8-NOV!I8,1)</f>
        <v>0</v>
      </c>
      <c r="L8" s="4">
        <f>IF(NOV!I8&lt;NOV!V8,MIN(NOV!V8-NOV!I8,NOV!K8),0)</f>
        <v>0</v>
      </c>
      <c r="M8" s="4">
        <f>NOV!K8-NOV!L8</f>
        <v>0</v>
      </c>
      <c r="N8" s="4">
        <f>NOV!K8-NOV!L8</f>
        <v>0</v>
      </c>
      <c r="O8" s="4">
        <v>0</v>
      </c>
      <c r="P8" s="4">
        <v>0</v>
      </c>
      <c r="Q8" s="9"/>
      <c r="R8" s="9"/>
      <c r="S8" s="9"/>
      <c r="V8" s="2">
        <f>_xlfn.XLOOKUP(NOV!A:A,'SR-SS'!A:A,'SR-SS'!C:C)+TIME(0,30,0)</f>
        <v>0.740277777777778</v>
      </c>
      <c r="W8" s="2">
        <f>_xlfn.XLOOKUP(NOV!A:A,'SR-SS'!A:A,'SR-SS'!B:B)-TIME(0,30,0)</f>
        <v>0.264583333333333</v>
      </c>
    </row>
    <row r="9" spans="1:23">
      <c r="A9" s="6">
        <v>45969</v>
      </c>
      <c r="K9" s="4">
        <f>MOD(NOV!J9-NOV!I9,1)</f>
        <v>0</v>
      </c>
      <c r="L9" s="4">
        <f>IF(NOV!I9&lt;NOV!V9,MIN(NOV!V9-NOV!I9,NOV!K9),0)</f>
        <v>0</v>
      </c>
      <c r="M9" s="4">
        <f>NOV!K9-NOV!L9</f>
        <v>0</v>
      </c>
      <c r="N9" s="4">
        <f>NOV!K9-NOV!L9</f>
        <v>0</v>
      </c>
      <c r="O9" s="4">
        <v>0</v>
      </c>
      <c r="P9" s="4">
        <v>0</v>
      </c>
      <c r="Q9" s="9"/>
      <c r="R9" s="9"/>
      <c r="S9" s="9"/>
      <c r="V9" s="2">
        <f>_xlfn.XLOOKUP(NOV!A:A,'SR-SS'!A:A,'SR-SS'!C:C)+TIME(0,30,0)</f>
        <v>0.739583333333333</v>
      </c>
      <c r="W9" s="2">
        <f>_xlfn.XLOOKUP(NOV!A:A,'SR-SS'!A:A,'SR-SS'!B:B)-TIME(0,30,0)</f>
        <v>0.265277777777778</v>
      </c>
    </row>
    <row r="10" spans="1:23">
      <c r="A10" s="6">
        <v>45970</v>
      </c>
      <c r="K10" s="4">
        <f>MOD(NOV!J10-NOV!I10,1)</f>
        <v>0</v>
      </c>
      <c r="L10" s="4">
        <f>IF(NOV!I10&lt;NOV!V10,MIN(NOV!V10-NOV!I10,NOV!K10),0)</f>
        <v>0</v>
      </c>
      <c r="M10" s="4">
        <f>NOV!K10-NOV!L10</f>
        <v>0</v>
      </c>
      <c r="N10" s="4">
        <f>NOV!K10-NOV!L10</f>
        <v>0</v>
      </c>
      <c r="O10" s="4">
        <v>0</v>
      </c>
      <c r="P10" s="4">
        <v>0</v>
      </c>
      <c r="Q10" s="9"/>
      <c r="R10" s="9"/>
      <c r="S10" s="9"/>
      <c r="V10" s="2">
        <f>_xlfn.XLOOKUP(NOV!A:A,'SR-SS'!A:A,'SR-SS'!C:C)+TIME(0,30,0)</f>
        <v>0.738888888888889</v>
      </c>
      <c r="W10" s="2">
        <f>_xlfn.XLOOKUP(NOV!A:A,'SR-SS'!A:A,'SR-SS'!B:B)-TIME(0,30,0)</f>
        <v>0.265972222222222</v>
      </c>
    </row>
    <row r="11" spans="1:23">
      <c r="A11" s="6">
        <v>45971</v>
      </c>
      <c r="I11" s="7"/>
      <c r="J11" s="7"/>
      <c r="K11" s="4">
        <f>MOD(NOV!J11-NOV!I11,1)</f>
        <v>0</v>
      </c>
      <c r="L11" s="4">
        <f>IF(NOV!I11&lt;NOV!V11,MIN(NOV!V11-NOV!I11,NOV!K11),0)</f>
        <v>0</v>
      </c>
      <c r="M11" s="4">
        <f>NOV!K11-NOV!L11</f>
        <v>0</v>
      </c>
      <c r="N11" s="4">
        <f>NOV!K11-NOV!L11</f>
        <v>0</v>
      </c>
      <c r="O11" s="4">
        <v>0</v>
      </c>
      <c r="P11" s="4">
        <v>0</v>
      </c>
      <c r="Q11" s="9"/>
      <c r="R11" s="9"/>
      <c r="S11" s="9"/>
      <c r="V11" s="2">
        <f>_xlfn.XLOOKUP(NOV!A:A,'SR-SS'!A:A,'SR-SS'!C:C)+TIME(0,30,0)</f>
        <v>0.738194444444444</v>
      </c>
      <c r="W11" s="2">
        <f>_xlfn.XLOOKUP(NOV!A:A,'SR-SS'!A:A,'SR-SS'!B:B)-TIME(0,30,0)</f>
        <v>0.266666666666667</v>
      </c>
    </row>
    <row r="12" spans="1:23">
      <c r="A12" s="6">
        <v>45972</v>
      </c>
      <c r="I12" s="7"/>
      <c r="J12" s="7"/>
      <c r="K12" s="4">
        <f>MOD(NOV!J12-NOV!I12,1)</f>
        <v>0</v>
      </c>
      <c r="L12" s="4">
        <f>IF(NOV!I12&lt;NOV!V12,MIN(NOV!V12-NOV!I12,NOV!K12),0)</f>
        <v>0</v>
      </c>
      <c r="M12" s="4">
        <f>NOV!K12-NOV!L12</f>
        <v>0</v>
      </c>
      <c r="N12" s="4">
        <f>NOV!K12-NOV!L12</f>
        <v>0</v>
      </c>
      <c r="O12" s="4">
        <v>0</v>
      </c>
      <c r="P12" s="4">
        <v>0</v>
      </c>
      <c r="Q12" s="9"/>
      <c r="R12" s="9"/>
      <c r="S12" s="9"/>
      <c r="T12" s="10"/>
      <c r="V12" s="2">
        <f>_xlfn.XLOOKUP(NOV!A:A,'SR-SS'!A:A,'SR-SS'!C:C)+TIME(0,30,0)</f>
        <v>0.738194444444444</v>
      </c>
      <c r="W12" s="2">
        <f>_xlfn.XLOOKUP(NOV!A:A,'SR-SS'!A:A,'SR-SS'!B:B)-TIME(0,30,0)</f>
        <v>0.267361111111111</v>
      </c>
    </row>
    <row r="13" spans="1:23">
      <c r="A13" s="6">
        <v>45973</v>
      </c>
      <c r="K13" s="4">
        <f>MOD(NOV!J13-NOV!I13,1)</f>
        <v>0</v>
      </c>
      <c r="L13" s="4">
        <f>IF(NOV!I13&lt;NOV!V13,MIN(NOV!V13-NOV!I13,NOV!K13),0)</f>
        <v>0</v>
      </c>
      <c r="M13" s="4">
        <f>NOV!K13-NOV!L13</f>
        <v>0</v>
      </c>
      <c r="N13" s="4">
        <f>NOV!K13-NOV!L13</f>
        <v>0</v>
      </c>
      <c r="O13" s="4">
        <v>0</v>
      </c>
      <c r="P13" s="4">
        <v>0</v>
      </c>
      <c r="Q13" s="9"/>
      <c r="R13" s="9"/>
      <c r="S13" s="9"/>
      <c r="V13" s="2">
        <f>_xlfn.XLOOKUP(NOV!A:A,'SR-SS'!A:A,'SR-SS'!C:C)+TIME(0,30,0)</f>
        <v>0.7375</v>
      </c>
      <c r="W13" s="2">
        <f>_xlfn.XLOOKUP(NOV!A:A,'SR-SS'!A:A,'SR-SS'!B:B)-TIME(0,30,0)</f>
        <v>0.268055555555556</v>
      </c>
    </row>
    <row r="14" spans="1:23">
      <c r="A14" s="6">
        <v>45974</v>
      </c>
      <c r="K14" s="4">
        <f>MOD(NOV!J14-NOV!I14,1)</f>
        <v>0</v>
      </c>
      <c r="L14" s="4">
        <f>IF(NOV!I14&lt;NOV!V14,MIN(NOV!V14-NOV!I14,NOV!K14),0)</f>
        <v>0</v>
      </c>
      <c r="M14" s="4">
        <f>NOV!K14-NOV!L14</f>
        <v>0</v>
      </c>
      <c r="N14" s="4">
        <f>NOV!K14-NOV!L14</f>
        <v>0</v>
      </c>
      <c r="O14" s="4">
        <v>0</v>
      </c>
      <c r="P14" s="4">
        <v>0</v>
      </c>
      <c r="Q14" s="9"/>
      <c r="R14" s="9"/>
      <c r="S14" s="9"/>
      <c r="V14" s="2">
        <f>_xlfn.XLOOKUP(NOV!A:A,'SR-SS'!A:A,'SR-SS'!C:C)+TIME(0,30,0)</f>
        <v>0.736805555555556</v>
      </c>
      <c r="W14" s="2">
        <f>_xlfn.XLOOKUP(NOV!A:A,'SR-SS'!A:A,'SR-SS'!B:B)-TIME(0,30,0)</f>
        <v>0.26875</v>
      </c>
    </row>
    <row r="15" spans="1:23">
      <c r="A15" s="6">
        <v>45975</v>
      </c>
      <c r="K15" s="4">
        <f>MOD(NOV!J15-NOV!I15,1)</f>
        <v>0</v>
      </c>
      <c r="L15" s="4">
        <f>IF(NOV!I15&lt;NOV!V15,MIN(NOV!V15-NOV!I15,NOV!K15),0)</f>
        <v>0</v>
      </c>
      <c r="M15" s="4">
        <f>NOV!K15-NOV!L15</f>
        <v>0</v>
      </c>
      <c r="N15" s="4">
        <f>NOV!K15-NOV!L15</f>
        <v>0</v>
      </c>
      <c r="O15" s="4">
        <v>0</v>
      </c>
      <c r="P15" s="4">
        <v>0</v>
      </c>
      <c r="Q15" s="9"/>
      <c r="R15" s="9"/>
      <c r="S15" s="9"/>
      <c r="V15" s="2">
        <f>_xlfn.XLOOKUP(NOV!A:A,'SR-SS'!A:A,'SR-SS'!C:C)+TIME(0,30,0)</f>
        <v>0.736111111111111</v>
      </c>
      <c r="W15" s="2">
        <f>_xlfn.XLOOKUP(NOV!A:A,'SR-SS'!A:A,'SR-SS'!B:B)-TIME(0,30,0)</f>
        <v>0.270138888888889</v>
      </c>
    </row>
    <row r="16" spans="1:23">
      <c r="A16" s="6">
        <v>45976</v>
      </c>
      <c r="K16" s="4">
        <f>MOD(NOV!J16-NOV!I16,1)</f>
        <v>0</v>
      </c>
      <c r="L16" s="4">
        <f>IF(NOV!I16&lt;NOV!V16,MIN(NOV!V16-NOV!I16,NOV!K16),0)</f>
        <v>0</v>
      </c>
      <c r="M16" s="4">
        <f>NOV!K16-NOV!L16</f>
        <v>0</v>
      </c>
      <c r="N16" s="4">
        <f>NOV!K16-NOV!L16</f>
        <v>0</v>
      </c>
      <c r="O16" s="4">
        <v>0</v>
      </c>
      <c r="P16" s="4">
        <v>0</v>
      </c>
      <c r="Q16" s="9"/>
      <c r="R16" s="9"/>
      <c r="S16" s="9"/>
      <c r="V16" s="2">
        <f>_xlfn.XLOOKUP(NOV!A:A,'SR-SS'!A:A,'SR-SS'!C:C)+TIME(0,30,0)</f>
        <v>0.736111111111111</v>
      </c>
      <c r="W16" s="2">
        <f>_xlfn.XLOOKUP(NOV!A:A,'SR-SS'!A:A,'SR-SS'!B:B)-TIME(0,30,0)</f>
        <v>0.270833333333333</v>
      </c>
    </row>
    <row r="17" spans="1:23">
      <c r="A17" s="6">
        <v>45977</v>
      </c>
      <c r="K17" s="4">
        <f>MOD(NOV!J17-NOV!I17,1)</f>
        <v>0</v>
      </c>
      <c r="L17" s="4">
        <f>IF(NOV!I17&lt;NOV!V17,MIN(NOV!V17-NOV!I17,NOV!K17),0)</f>
        <v>0</v>
      </c>
      <c r="M17" s="4">
        <f>NOV!K17-NOV!L17</f>
        <v>0</v>
      </c>
      <c r="N17" s="4">
        <f>NOV!K17-NOV!L17</f>
        <v>0</v>
      </c>
      <c r="O17" s="4">
        <v>0</v>
      </c>
      <c r="P17" s="4">
        <v>0</v>
      </c>
      <c r="Q17" s="9"/>
      <c r="R17" s="9"/>
      <c r="S17" s="9"/>
      <c r="V17" s="2">
        <f>_xlfn.XLOOKUP(NOV!A:A,'SR-SS'!A:A,'SR-SS'!C:C)+TIME(0,30,0)</f>
        <v>0.735416666666667</v>
      </c>
      <c r="W17" s="2">
        <f>_xlfn.XLOOKUP(NOV!A:A,'SR-SS'!A:A,'SR-SS'!B:B)-TIME(0,30,0)</f>
        <v>0.271527777777778</v>
      </c>
    </row>
    <row r="18" spans="1:23">
      <c r="A18" s="6">
        <v>45978</v>
      </c>
      <c r="K18" s="4">
        <f>MOD(NOV!J18-NOV!I18,1)</f>
        <v>0</v>
      </c>
      <c r="L18" s="4">
        <f>IF(NOV!I18&lt;NOV!V18,MIN(NOV!V18-NOV!I18,NOV!K18),0)</f>
        <v>0</v>
      </c>
      <c r="M18" s="4">
        <f>NOV!K18-NOV!L18</f>
        <v>0</v>
      </c>
      <c r="N18" s="4">
        <f>NOV!K18-NOV!L18</f>
        <v>0</v>
      </c>
      <c r="O18" s="4">
        <v>0</v>
      </c>
      <c r="P18" s="4">
        <v>0</v>
      </c>
      <c r="Q18" s="9"/>
      <c r="R18" s="9"/>
      <c r="S18" s="9"/>
      <c r="V18" s="2">
        <f>_xlfn.XLOOKUP(NOV!A:A,'SR-SS'!A:A,'SR-SS'!C:C)+TIME(0,30,0)</f>
        <v>0.734722222222222</v>
      </c>
      <c r="W18" s="2">
        <f>_xlfn.XLOOKUP(NOV!A:A,'SR-SS'!A:A,'SR-SS'!B:B)-TIME(0,30,0)</f>
        <v>0.272222222222222</v>
      </c>
    </row>
    <row r="19" spans="1:23">
      <c r="A19" s="6">
        <v>45979</v>
      </c>
      <c r="K19" s="4">
        <f>MOD(NOV!J19-NOV!I19,1)</f>
        <v>0</v>
      </c>
      <c r="L19" s="4">
        <f>IF(NOV!I19&lt;NOV!V19,MIN(NOV!V19-NOV!I19,NOV!K19),0)</f>
        <v>0</v>
      </c>
      <c r="M19" s="4">
        <f>NOV!K19-NOV!L19</f>
        <v>0</v>
      </c>
      <c r="N19" s="4">
        <f>NOV!K19-NOV!L19</f>
        <v>0</v>
      </c>
      <c r="O19" s="4">
        <v>0</v>
      </c>
      <c r="P19" s="4">
        <v>0</v>
      </c>
      <c r="Q19" s="9"/>
      <c r="R19" s="9"/>
      <c r="S19" s="9"/>
      <c r="V19" s="2">
        <f>_xlfn.XLOOKUP(NOV!A:A,'SR-SS'!A:A,'SR-SS'!C:C)+TIME(0,30,0)</f>
        <v>0.734722222222222</v>
      </c>
      <c r="W19" s="2">
        <f>_xlfn.XLOOKUP(NOV!A:A,'SR-SS'!A:A,'SR-SS'!B:B)-TIME(0,30,0)</f>
        <v>0.272916666666667</v>
      </c>
    </row>
    <row r="20" spans="1:23">
      <c r="A20" s="6">
        <v>45980</v>
      </c>
      <c r="K20" s="4">
        <f>MOD(NOV!J20-NOV!I20,1)</f>
        <v>0</v>
      </c>
      <c r="L20" s="4">
        <f>IF(NOV!I20&lt;NOV!V20,MIN(NOV!V20-NOV!I20,NOV!K20),0)</f>
        <v>0</v>
      </c>
      <c r="M20" s="4">
        <f>NOV!K20-NOV!L20</f>
        <v>0</v>
      </c>
      <c r="N20" s="4">
        <f>NOV!K20-NOV!L20</f>
        <v>0</v>
      </c>
      <c r="O20" s="4">
        <v>0</v>
      </c>
      <c r="P20" s="4">
        <v>0</v>
      </c>
      <c r="Q20" s="9"/>
      <c r="R20" s="9"/>
      <c r="S20" s="9"/>
      <c r="V20" s="2">
        <f>_xlfn.XLOOKUP(NOV!A:A,'SR-SS'!A:A,'SR-SS'!C:C)+TIME(0,30,0)</f>
        <v>0.734027777777778</v>
      </c>
      <c r="W20" s="2">
        <f>_xlfn.XLOOKUP(NOV!A:A,'SR-SS'!A:A,'SR-SS'!B:B)-TIME(0,30,0)</f>
        <v>0.273611111111111</v>
      </c>
    </row>
    <row r="21" spans="1:23">
      <c r="A21" s="6">
        <v>45981</v>
      </c>
      <c r="K21" s="4">
        <f>MOD(NOV!J21-NOV!I21,1)</f>
        <v>0</v>
      </c>
      <c r="L21" s="4">
        <f>IF(NOV!I21&lt;NOV!V21,MIN(NOV!V21-NOV!I21,NOV!K21),0)</f>
        <v>0</v>
      </c>
      <c r="M21" s="4">
        <f>NOV!K21-NOV!L21</f>
        <v>0</v>
      </c>
      <c r="N21" s="4">
        <f>NOV!K21-NOV!L21</f>
        <v>0</v>
      </c>
      <c r="O21" s="4">
        <v>0</v>
      </c>
      <c r="P21" s="4">
        <v>0</v>
      </c>
      <c r="Q21" s="9"/>
      <c r="R21" s="9"/>
      <c r="S21" s="9"/>
      <c r="V21" s="2">
        <f>_xlfn.XLOOKUP(NOV!A:A,'SR-SS'!A:A,'SR-SS'!C:C)+TIME(0,30,0)</f>
        <v>0.734027777777778</v>
      </c>
      <c r="W21" s="2">
        <f>_xlfn.XLOOKUP(NOV!A:A,'SR-SS'!A:A,'SR-SS'!B:B)-TIME(0,30,0)</f>
        <v>0.274305555555556</v>
      </c>
    </row>
    <row r="22" spans="1:23">
      <c r="A22" s="6">
        <v>45982</v>
      </c>
      <c r="K22" s="4">
        <f>MOD(NOV!J22-NOV!I22,1)</f>
        <v>0</v>
      </c>
      <c r="L22" s="4">
        <f>IF(NOV!I22&lt;NOV!V22,MIN(NOV!V22-NOV!I22,NOV!K22),0)</f>
        <v>0</v>
      </c>
      <c r="M22" s="4">
        <f>NOV!K22-NOV!L22</f>
        <v>0</v>
      </c>
      <c r="N22" s="4">
        <f>NOV!K22-NOV!L22</f>
        <v>0</v>
      </c>
      <c r="O22" s="4">
        <v>0</v>
      </c>
      <c r="P22" s="4">
        <v>0</v>
      </c>
      <c r="Q22" s="9"/>
      <c r="R22" s="9"/>
      <c r="S22" s="9"/>
      <c r="V22" s="2">
        <f>_xlfn.XLOOKUP(NOV!A:A,'SR-SS'!A:A,'SR-SS'!C:C)+TIME(0,30,0)</f>
        <v>0.733333333333333</v>
      </c>
      <c r="W22" s="2">
        <f>_xlfn.XLOOKUP(NOV!A:A,'SR-SS'!A:A,'SR-SS'!B:B)-TIME(0,30,0)</f>
        <v>0.275</v>
      </c>
    </row>
    <row r="23" spans="1:23">
      <c r="A23" s="6">
        <v>45983</v>
      </c>
      <c r="K23" s="4">
        <f>MOD(NOV!J23-NOV!I23,1)</f>
        <v>0</v>
      </c>
      <c r="L23" s="4">
        <f>IF(NOV!I23&lt;NOV!V23,MIN(NOV!V23-NOV!I23,NOV!K23),0)</f>
        <v>0</v>
      </c>
      <c r="M23" s="4">
        <f>NOV!K23-NOV!L23</f>
        <v>0</v>
      </c>
      <c r="N23" s="4">
        <f>NOV!K23-NOV!L23</f>
        <v>0</v>
      </c>
      <c r="O23" s="4">
        <v>0</v>
      </c>
      <c r="P23" s="4">
        <v>0</v>
      </c>
      <c r="Q23" s="9"/>
      <c r="R23" s="9"/>
      <c r="S23" s="9"/>
      <c r="V23" s="2">
        <f>_xlfn.XLOOKUP(NOV!A:A,'SR-SS'!A:A,'SR-SS'!C:C)+TIME(0,30,0)</f>
        <v>0.733333333333333</v>
      </c>
      <c r="W23" s="2">
        <f>_xlfn.XLOOKUP(NOV!A:A,'SR-SS'!A:A,'SR-SS'!B:B)-TIME(0,30,0)</f>
        <v>0.275694444444444</v>
      </c>
    </row>
    <row r="24" spans="1:23">
      <c r="A24" s="6">
        <v>45984</v>
      </c>
      <c r="K24" s="4">
        <f>MOD(NOV!J24-NOV!I24,1)</f>
        <v>0</v>
      </c>
      <c r="L24" s="4">
        <f>IF(NOV!I24&lt;NOV!V24,MIN(NOV!V24-NOV!I24,NOV!K24),0)</f>
        <v>0</v>
      </c>
      <c r="M24" s="4">
        <f>NOV!K24-NOV!L24</f>
        <v>0</v>
      </c>
      <c r="N24" s="4">
        <f>NOV!K24-NOV!L24</f>
        <v>0</v>
      </c>
      <c r="O24" s="4">
        <v>0</v>
      </c>
      <c r="P24" s="4">
        <v>0</v>
      </c>
      <c r="Q24" s="9"/>
      <c r="R24" s="9"/>
      <c r="S24" s="9"/>
      <c r="V24" s="2">
        <f>_xlfn.XLOOKUP(NOV!A:A,'SR-SS'!A:A,'SR-SS'!C:C)+TIME(0,30,0)</f>
        <v>0.732638888888889</v>
      </c>
      <c r="W24" s="2">
        <f>_xlfn.XLOOKUP(NOV!A:A,'SR-SS'!A:A,'SR-SS'!B:B)-TIME(0,30,0)</f>
        <v>0.276388888888889</v>
      </c>
    </row>
    <row r="25" spans="1:23">
      <c r="A25" s="6">
        <v>45985</v>
      </c>
      <c r="K25" s="4">
        <f>MOD(NOV!J25-NOV!I25,1)</f>
        <v>0</v>
      </c>
      <c r="L25" s="4">
        <f>IF(NOV!I25&lt;NOV!V25,MIN(NOV!V25-NOV!I25,NOV!K25),0)</f>
        <v>0</v>
      </c>
      <c r="M25" s="4">
        <f>NOV!K25-NOV!L25</f>
        <v>0</v>
      </c>
      <c r="N25" s="4">
        <f>NOV!K25-NOV!L25</f>
        <v>0</v>
      </c>
      <c r="O25" s="4">
        <v>0</v>
      </c>
      <c r="P25" s="4">
        <v>0</v>
      </c>
      <c r="Q25" s="9"/>
      <c r="R25" s="9"/>
      <c r="S25" s="9"/>
      <c r="V25" s="2">
        <f>_xlfn.XLOOKUP(NOV!A:A,'SR-SS'!A:A,'SR-SS'!C:C)+TIME(0,30,0)</f>
        <v>0.732638888888889</v>
      </c>
      <c r="W25" s="2">
        <f>_xlfn.XLOOKUP(NOV!A:A,'SR-SS'!A:A,'SR-SS'!B:B)-TIME(0,30,0)</f>
        <v>0.277083333333333</v>
      </c>
    </row>
    <row r="26" spans="1:23">
      <c r="A26" s="6">
        <v>45986</v>
      </c>
      <c r="K26" s="4">
        <f>MOD(NOV!J26-NOV!I26,1)</f>
        <v>0</v>
      </c>
      <c r="L26" s="4">
        <f>IF(NOV!I26&lt;NOV!V26,MIN(NOV!V26-NOV!I26,NOV!K26),0)</f>
        <v>0</v>
      </c>
      <c r="M26" s="4">
        <f>NOV!K26-NOV!L26</f>
        <v>0</v>
      </c>
      <c r="N26" s="4">
        <f>NOV!K26-NOV!L26</f>
        <v>0</v>
      </c>
      <c r="O26" s="4">
        <v>0</v>
      </c>
      <c r="P26" s="4">
        <v>0</v>
      </c>
      <c r="Q26" s="9"/>
      <c r="R26" s="9"/>
      <c r="S26" s="9"/>
      <c r="V26" s="2">
        <f>_xlfn.XLOOKUP(NOV!A:A,'SR-SS'!A:A,'SR-SS'!C:C)+TIME(0,30,0)</f>
        <v>0.731944444444445</v>
      </c>
      <c r="W26" s="2">
        <f>_xlfn.XLOOKUP(NOV!A:A,'SR-SS'!A:A,'SR-SS'!B:B)-TIME(0,30,0)</f>
        <v>0.277777777777778</v>
      </c>
    </row>
    <row r="27" spans="1:23">
      <c r="A27" s="6">
        <v>45987</v>
      </c>
      <c r="K27" s="4">
        <f>MOD(NOV!J27-NOV!I27,1)</f>
        <v>0</v>
      </c>
      <c r="L27" s="4">
        <f>IF(NOV!I27&lt;NOV!V27,MIN(NOV!V27-NOV!I27,NOV!K27),0)</f>
        <v>0</v>
      </c>
      <c r="M27" s="4">
        <f>NOV!K27-NOV!L27</f>
        <v>0</v>
      </c>
      <c r="N27" s="4">
        <f>NOV!K27-NOV!L27</f>
        <v>0</v>
      </c>
      <c r="O27" s="4">
        <v>0</v>
      </c>
      <c r="P27" s="4">
        <v>0</v>
      </c>
      <c r="Q27" s="9"/>
      <c r="R27" s="9"/>
      <c r="S27" s="9"/>
      <c r="V27" s="2">
        <f>_xlfn.XLOOKUP(NOV!A:A,'SR-SS'!A:A,'SR-SS'!C:C)+TIME(0,30,0)</f>
        <v>0.731944444444445</v>
      </c>
      <c r="W27" s="2">
        <f>_xlfn.XLOOKUP(NOV!A:A,'SR-SS'!A:A,'SR-SS'!B:B)-TIME(0,30,0)</f>
        <v>0.278472222222222</v>
      </c>
    </row>
    <row r="28" spans="1:23">
      <c r="A28" s="6">
        <v>45988</v>
      </c>
      <c r="K28" s="4">
        <f>MOD(NOV!J28-NOV!I28,1)</f>
        <v>0</v>
      </c>
      <c r="L28" s="4">
        <f>IF(NOV!I28&lt;NOV!V28,MIN(NOV!V28-NOV!I28,NOV!K28),0)</f>
        <v>0</v>
      </c>
      <c r="M28" s="4">
        <f>NOV!K28-NOV!L28</f>
        <v>0</v>
      </c>
      <c r="N28" s="4">
        <f>NOV!K28-NOV!L28</f>
        <v>0</v>
      </c>
      <c r="O28" s="4">
        <v>0</v>
      </c>
      <c r="P28" s="4">
        <v>0</v>
      </c>
      <c r="Q28" s="9"/>
      <c r="R28" s="9"/>
      <c r="S28" s="9"/>
      <c r="V28" s="2">
        <f>_xlfn.XLOOKUP(NOV!A:A,'SR-SS'!A:A,'SR-SS'!C:C)+TIME(0,30,0)</f>
        <v>0.731944444444445</v>
      </c>
      <c r="W28" s="2">
        <f>_xlfn.XLOOKUP(NOV!A:A,'SR-SS'!A:A,'SR-SS'!B:B)-TIME(0,30,0)</f>
        <v>0.279166666666667</v>
      </c>
    </row>
    <row r="29" spans="1:23">
      <c r="A29" s="6">
        <v>45989</v>
      </c>
      <c r="K29" s="4">
        <f>MOD(NOV!J29-NOV!I29,1)</f>
        <v>0</v>
      </c>
      <c r="L29" s="4">
        <f>IF(NOV!I29&lt;NOV!V29,MIN(NOV!V29-NOV!I29,NOV!K29),0)</f>
        <v>0</v>
      </c>
      <c r="M29" s="4">
        <f>NOV!K29-NOV!L29</f>
        <v>0</v>
      </c>
      <c r="N29" s="4">
        <f>NOV!K29-NOV!L29</f>
        <v>0</v>
      </c>
      <c r="O29" s="4">
        <v>0</v>
      </c>
      <c r="P29" s="4">
        <v>0</v>
      </c>
      <c r="Q29" s="9"/>
      <c r="R29" s="9"/>
      <c r="S29" s="9"/>
      <c r="V29" s="2">
        <f>_xlfn.XLOOKUP(NOV!A:A,'SR-SS'!A:A,'SR-SS'!C:C)+TIME(0,30,0)</f>
        <v>0.73125</v>
      </c>
      <c r="W29" s="2">
        <f>_xlfn.XLOOKUP(NOV!A:A,'SR-SS'!A:A,'SR-SS'!B:B)-TIME(0,30,0)</f>
        <v>0.279861111111111</v>
      </c>
    </row>
    <row r="30" spans="1:23">
      <c r="A30" s="6">
        <v>45990</v>
      </c>
      <c r="K30" s="4">
        <f>MOD(NOV!J30-NOV!I30,1)</f>
        <v>0</v>
      </c>
      <c r="L30" s="4">
        <f>IF(NOV!I30&lt;NOV!V30,MIN(NOV!V30-NOV!I30,NOV!K30),0)</f>
        <v>0</v>
      </c>
      <c r="M30" s="4">
        <f>NOV!K30-NOV!L30</f>
        <v>0</v>
      </c>
      <c r="N30" s="4">
        <f>NOV!K30-NOV!L30</f>
        <v>0</v>
      </c>
      <c r="O30" s="4">
        <v>0</v>
      </c>
      <c r="P30" s="4">
        <v>0</v>
      </c>
      <c r="Q30" s="9"/>
      <c r="R30" s="9"/>
      <c r="S30" s="9"/>
      <c r="V30" s="2">
        <f>_xlfn.XLOOKUP(NOV!A:A,'SR-SS'!A:A,'SR-SS'!C:C)+TIME(0,30,0)</f>
        <v>0.73125</v>
      </c>
      <c r="W30" s="2">
        <f>_xlfn.XLOOKUP(NOV!A:A,'SR-SS'!A:A,'SR-SS'!B:B)-TIME(0,30,0)</f>
        <v>0.280555555555556</v>
      </c>
    </row>
    <row r="31" spans="1:23">
      <c r="A31" s="6">
        <v>45991</v>
      </c>
      <c r="K31" s="4">
        <f>MOD(NOV!J31-NOV!I31,1)</f>
        <v>0</v>
      </c>
      <c r="L31" s="4">
        <f>IF(NOV!I31&lt;NOV!V31,MIN(NOV!V31-NOV!I31,NOV!K31),0)</f>
        <v>0</v>
      </c>
      <c r="M31" s="4">
        <f>NOV!K31-NOV!L31</f>
        <v>0</v>
      </c>
      <c r="N31" s="4">
        <f>NOV!K31-NOV!L31</f>
        <v>0</v>
      </c>
      <c r="O31" s="4">
        <v>0</v>
      </c>
      <c r="P31" s="4">
        <v>0</v>
      </c>
      <c r="Q31" s="9"/>
      <c r="R31" s="9"/>
      <c r="S31" s="9"/>
      <c r="V31" s="2">
        <f>_xlfn.XLOOKUP(NOV!A:A,'SR-SS'!A:A,'SR-SS'!C:C)+TIME(0,30,0)</f>
        <v>0.73125</v>
      </c>
      <c r="W31" s="2">
        <f>_xlfn.XLOOKUP(NOV!A:A,'SR-SS'!A:A,'SR-SS'!B:B)-TIME(0,30,0)</f>
        <v>0.28125</v>
      </c>
    </row>
    <row r="32" spans="1:19">
      <c r="A32" s="6" t="s">
        <v>39</v>
      </c>
      <c r="K32" s="7">
        <f>SUM(Table15[Flight Duration])</f>
        <v>0</v>
      </c>
      <c r="L32" s="4">
        <f>SUM(Table15[Day Duration])</f>
        <v>0</v>
      </c>
      <c r="M32" s="4">
        <f>SUM(Table15[Night Duration])</f>
        <v>0</v>
      </c>
      <c r="N32" s="4">
        <f>SUM(Table15[NVG Duration])</f>
        <v>0</v>
      </c>
      <c r="O32" s="4">
        <f>SUM(Table15[Simulated IFR])</f>
        <v>0</v>
      </c>
      <c r="P32" s="4">
        <f>SUM(Table15[Real IFR])</f>
        <v>0</v>
      </c>
      <c r="Q32" s="9">
        <f>SUM(Table15[Takeoffs])</f>
        <v>0</v>
      </c>
      <c r="R32" s="9">
        <f>SUM(Table15[Landings])</f>
        <v>0</v>
      </c>
      <c r="S32" s="9">
        <f>SUM(Table15[Inst. Apps])</f>
        <v>0</v>
      </c>
    </row>
  </sheetData>
  <printOptions headings="1"/>
  <pageMargins left="0.75" right="0.75" top="1" bottom="1" header="0.5" footer="0.5"/>
  <pageSetup paperSize="9" scale="40" fitToWidth="0" fitToHeight="0" orientation="landscape" horizontalDpi="600" verticalDpi="600"/>
  <headerFooter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3"/>
  <sheetViews>
    <sheetView topLeftCell="I1" workbookViewId="0">
      <selection activeCell="I1" sqref="I$1:I$1048576"/>
    </sheetView>
  </sheetViews>
  <sheetFormatPr defaultColWidth="9" defaultRowHeight="14.25"/>
  <cols>
    <col min="1" max="1" width="10.7890625" style="6" customWidth="1"/>
    <col min="2" max="2" width="16.5546875" style="1" customWidth="1"/>
    <col min="3" max="3" width="18.375" style="1" customWidth="1"/>
    <col min="4" max="4" width="17.7265625" style="1" customWidth="1"/>
    <col min="5" max="5" width="15.90625" style="1" customWidth="1"/>
    <col min="6" max="6" width="12.796875" style="1" customWidth="1"/>
    <col min="7" max="8" width="12.421875" style="1" customWidth="1"/>
    <col min="9" max="9" width="13.578125" style="1" customWidth="1"/>
    <col min="10" max="10" width="16.03125" style="1" customWidth="1"/>
    <col min="11" max="11" width="20.1953125" style="1" customWidth="1"/>
    <col min="12" max="12" width="18.6328125" style="1" customWidth="1"/>
    <col min="13" max="13" width="20.1953125" style="1" customWidth="1"/>
    <col min="14" max="14" width="19.28125" style="1" customWidth="1"/>
    <col min="15" max="15" width="18.890625" style="1" customWidth="1"/>
    <col min="16" max="16" width="13.8515625" style="1" customWidth="1"/>
    <col min="17" max="18" width="10.0078125" style="1" customWidth="1"/>
    <col min="19" max="19" width="10.140625" style="1" customWidth="1"/>
    <col min="20" max="20" width="35.8515625" style="1" customWidth="1"/>
    <col min="21" max="21" width="9" style="1"/>
    <col min="22" max="22" width="10.2734375"/>
    <col min="23" max="23" width="10.2734375" style="4"/>
    <col min="24" max="16384" width="9" style="1"/>
  </cols>
  <sheetData>
    <row r="1" s="5" customFormat="1" spans="1:23">
      <c r="A1" s="5" t="s">
        <v>0</v>
      </c>
      <c r="B1" s="5" t="s">
        <v>1</v>
      </c>
      <c r="C1" s="5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5" t="s">
        <v>10</v>
      </c>
      <c r="L1" s="5" t="s">
        <v>11</v>
      </c>
      <c r="M1" s="5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" t="s">
        <v>18</v>
      </c>
      <c r="T1" s="1" t="s">
        <v>19</v>
      </c>
      <c r="V1" s="11" t="s">
        <v>20</v>
      </c>
      <c r="W1" s="11" t="s">
        <v>21</v>
      </c>
    </row>
    <row r="2" spans="1:23">
      <c r="A2" s="6">
        <v>45992</v>
      </c>
      <c r="K2" s="4">
        <f>MOD(DEC!J2-DEC!I2,1)</f>
        <v>0</v>
      </c>
      <c r="L2" s="4">
        <f>IF(DEC!I2&lt;DEC!V2,MIN(DEC!V2-DEC!I2,DEC!K2),0)</f>
        <v>0</v>
      </c>
      <c r="M2" s="4">
        <f>DEC!K2-DEC!L2</f>
        <v>0</v>
      </c>
      <c r="N2" s="4">
        <f>DEC!K2-DEC!L2</f>
        <v>0</v>
      </c>
      <c r="O2" s="4">
        <v>0</v>
      </c>
      <c r="P2" s="4">
        <v>0</v>
      </c>
      <c r="Q2" s="9"/>
      <c r="R2" s="9"/>
      <c r="S2" s="9"/>
      <c r="V2" s="2">
        <f>_xlfn.XLOOKUP(DEC!A:A,'SR-SS'!A:A,'SR-SS'!C:C)+TIME(0,30,0)</f>
        <v>0.73125</v>
      </c>
      <c r="W2" s="2">
        <f>_xlfn.XLOOKUP(DEC!A:A,'SR-SS'!A:A,'SR-SS'!B:B)-TIME(0,30,0)</f>
        <v>0.281944444444444</v>
      </c>
    </row>
    <row r="3" spans="1:23">
      <c r="A3" s="6">
        <v>45993</v>
      </c>
      <c r="K3" s="4">
        <f>MOD(DEC!J3-DEC!I3,1)</f>
        <v>0</v>
      </c>
      <c r="L3" s="4">
        <f>IF(DEC!I3&lt;DEC!V3,MIN(DEC!V3-DEC!I3,DEC!K3),0)</f>
        <v>0</v>
      </c>
      <c r="M3" s="4">
        <f>DEC!K3-DEC!L3</f>
        <v>0</v>
      </c>
      <c r="N3" s="4">
        <f>DEC!K3-DEC!L3</f>
        <v>0</v>
      </c>
      <c r="O3" s="4">
        <v>0</v>
      </c>
      <c r="P3" s="4">
        <v>0</v>
      </c>
      <c r="Q3" s="9"/>
      <c r="R3" s="9"/>
      <c r="S3" s="9"/>
      <c r="V3" s="2">
        <f>_xlfn.XLOOKUP(DEC!A:A,'SR-SS'!A:A,'SR-SS'!C:C)+TIME(0,30,0)</f>
        <v>0.730555555555556</v>
      </c>
      <c r="W3" s="2">
        <f>_xlfn.XLOOKUP(DEC!A:A,'SR-SS'!A:A,'SR-SS'!B:B)-TIME(0,30,0)</f>
        <v>0.282638888888889</v>
      </c>
    </row>
    <row r="4" spans="1:23">
      <c r="A4" s="6">
        <v>45994</v>
      </c>
      <c r="K4" s="4">
        <f>MOD(DEC!J4-DEC!I4,1)</f>
        <v>0</v>
      </c>
      <c r="L4" s="4">
        <f>IF(DEC!I4&lt;DEC!V4,MIN(DEC!V4-DEC!I4,DEC!K4),0)</f>
        <v>0</v>
      </c>
      <c r="M4" s="4">
        <f>DEC!K4-DEC!L4</f>
        <v>0</v>
      </c>
      <c r="N4" s="4">
        <f>DEC!K4-DEC!L4</f>
        <v>0</v>
      </c>
      <c r="O4" s="4">
        <v>0</v>
      </c>
      <c r="P4" s="4">
        <v>0</v>
      </c>
      <c r="Q4" s="9"/>
      <c r="R4" s="9"/>
      <c r="S4" s="9"/>
      <c r="V4" s="2">
        <f>_xlfn.XLOOKUP(DEC!A:A,'SR-SS'!A:A,'SR-SS'!C:C)+TIME(0,30,0)</f>
        <v>0.730555555555556</v>
      </c>
      <c r="W4" s="2">
        <f>_xlfn.XLOOKUP(DEC!A:A,'SR-SS'!A:A,'SR-SS'!B:B)-TIME(0,30,0)</f>
        <v>0.283333333333333</v>
      </c>
    </row>
    <row r="5" spans="1:23">
      <c r="A5" s="6">
        <v>45995</v>
      </c>
      <c r="K5" s="4">
        <f>MOD(DEC!J5-DEC!I5,1)</f>
        <v>0</v>
      </c>
      <c r="L5" s="4">
        <f>IF(DEC!I5&lt;DEC!V5,MIN(DEC!V5-DEC!I5,DEC!K5),0)</f>
        <v>0</v>
      </c>
      <c r="M5" s="4">
        <f>DEC!K5-DEC!L5</f>
        <v>0</v>
      </c>
      <c r="N5" s="4">
        <f>DEC!K5-DEC!L5</f>
        <v>0</v>
      </c>
      <c r="O5" s="4">
        <v>0</v>
      </c>
      <c r="P5" s="4">
        <v>0</v>
      </c>
      <c r="Q5" s="9"/>
      <c r="R5" s="9"/>
      <c r="S5" s="9"/>
      <c r="V5" s="2">
        <f>_xlfn.XLOOKUP(DEC!A:A,'SR-SS'!A:A,'SR-SS'!C:C)+TIME(0,30,0)</f>
        <v>0.730555555555556</v>
      </c>
      <c r="W5" s="2">
        <f>_xlfn.XLOOKUP(DEC!A:A,'SR-SS'!A:A,'SR-SS'!B:B)-TIME(0,30,0)</f>
        <v>0.283333333333333</v>
      </c>
    </row>
    <row r="6" spans="1:23">
      <c r="A6" s="6">
        <v>45996</v>
      </c>
      <c r="K6" s="4">
        <f>MOD(DEC!J6-DEC!I6,1)</f>
        <v>0</v>
      </c>
      <c r="L6" s="4">
        <f>IF(DEC!I6&lt;DEC!V6,MIN(DEC!V6-DEC!I6,DEC!K6),0)</f>
        <v>0</v>
      </c>
      <c r="M6" s="4">
        <f>DEC!K6-DEC!L6</f>
        <v>0</v>
      </c>
      <c r="N6" s="4">
        <f>DEC!K6-DEC!L6</f>
        <v>0</v>
      </c>
      <c r="O6" s="4">
        <v>0</v>
      </c>
      <c r="P6" s="4">
        <v>0</v>
      </c>
      <c r="Q6" s="9"/>
      <c r="R6" s="9"/>
      <c r="S6" s="9"/>
      <c r="V6" s="2">
        <f>_xlfn.XLOOKUP(DEC!A:A,'SR-SS'!A:A,'SR-SS'!C:C)+TIME(0,30,0)</f>
        <v>0.730555555555556</v>
      </c>
      <c r="W6" s="2">
        <f>_xlfn.XLOOKUP(DEC!A:A,'SR-SS'!A:A,'SR-SS'!B:B)-TIME(0,30,0)</f>
        <v>0.284027777777778</v>
      </c>
    </row>
    <row r="7" spans="1:23">
      <c r="A7" s="6">
        <v>45997</v>
      </c>
      <c r="K7" s="4">
        <f>MOD(DEC!J7-DEC!I7,1)</f>
        <v>0</v>
      </c>
      <c r="L7" s="4">
        <f>IF(DEC!I7&lt;DEC!V7,MIN(DEC!V7-DEC!I7,DEC!K7),0)</f>
        <v>0</v>
      </c>
      <c r="M7" s="4">
        <f>DEC!K7-DEC!L7</f>
        <v>0</v>
      </c>
      <c r="N7" s="4">
        <f>DEC!K7-DEC!L7</f>
        <v>0</v>
      </c>
      <c r="O7" s="4">
        <v>0</v>
      </c>
      <c r="P7" s="4">
        <v>0</v>
      </c>
      <c r="Q7" s="9"/>
      <c r="R7" s="9"/>
      <c r="S7" s="9"/>
      <c r="V7" s="2">
        <f>_xlfn.XLOOKUP(DEC!A:A,'SR-SS'!A:A,'SR-SS'!C:C)+TIME(0,30,0)</f>
        <v>0.730555555555556</v>
      </c>
      <c r="W7" s="2">
        <f>_xlfn.XLOOKUP(DEC!A:A,'SR-SS'!A:A,'SR-SS'!B:B)-TIME(0,30,0)</f>
        <v>0.284722222222222</v>
      </c>
    </row>
    <row r="8" spans="1:23">
      <c r="A8" s="6">
        <v>45998</v>
      </c>
      <c r="K8" s="4">
        <f>MOD(DEC!J8-DEC!I8,1)</f>
        <v>0</v>
      </c>
      <c r="L8" s="4">
        <f>IF(DEC!I8&lt;DEC!V8,MIN(DEC!V8-DEC!I8,DEC!K8),0)</f>
        <v>0</v>
      </c>
      <c r="M8" s="4">
        <f>DEC!K8-DEC!L8</f>
        <v>0</v>
      </c>
      <c r="N8" s="4">
        <f>DEC!K8-DEC!L8</f>
        <v>0</v>
      </c>
      <c r="O8" s="4">
        <v>0</v>
      </c>
      <c r="P8" s="4">
        <v>0</v>
      </c>
      <c r="Q8" s="9"/>
      <c r="R8" s="9"/>
      <c r="S8" s="9"/>
      <c r="V8" s="2">
        <f>_xlfn.XLOOKUP(DEC!A:A,'SR-SS'!A:A,'SR-SS'!C:C)+TIME(0,30,0)</f>
        <v>0.730555555555556</v>
      </c>
      <c r="W8" s="2">
        <f>_xlfn.XLOOKUP(DEC!A:A,'SR-SS'!A:A,'SR-SS'!B:B)-TIME(0,30,0)</f>
        <v>0.285416666666667</v>
      </c>
    </row>
    <row r="9" spans="1:23">
      <c r="A9" s="6">
        <v>45999</v>
      </c>
      <c r="K9" s="4">
        <f>MOD(DEC!J9-DEC!I9,1)</f>
        <v>0</v>
      </c>
      <c r="L9" s="4">
        <f>IF(DEC!I9&lt;DEC!V9,MIN(DEC!V9-DEC!I9,DEC!K9),0)</f>
        <v>0</v>
      </c>
      <c r="M9" s="4">
        <f>DEC!K9-DEC!L9</f>
        <v>0</v>
      </c>
      <c r="N9" s="4">
        <f>DEC!K9-DEC!L9</f>
        <v>0</v>
      </c>
      <c r="O9" s="4">
        <v>0</v>
      </c>
      <c r="P9" s="4">
        <v>0</v>
      </c>
      <c r="Q9" s="9"/>
      <c r="R9" s="9"/>
      <c r="S9" s="9"/>
      <c r="V9" s="2">
        <f>_xlfn.XLOOKUP(DEC!A:A,'SR-SS'!A:A,'SR-SS'!C:C)+TIME(0,30,0)</f>
        <v>0.730555555555556</v>
      </c>
      <c r="W9" s="2">
        <f>_xlfn.XLOOKUP(DEC!A:A,'SR-SS'!A:A,'SR-SS'!B:B)-TIME(0,30,0)</f>
        <v>0.286111111111111</v>
      </c>
    </row>
    <row r="10" spans="1:23">
      <c r="A10" s="6">
        <v>46000</v>
      </c>
      <c r="K10" s="4">
        <f>MOD(DEC!J10-DEC!I10,1)</f>
        <v>0</v>
      </c>
      <c r="L10" s="4">
        <f>IF(DEC!I10&lt;DEC!V10,MIN(DEC!V10-DEC!I10,DEC!K10),0)</f>
        <v>0</v>
      </c>
      <c r="M10" s="4">
        <f>DEC!K10-DEC!L10</f>
        <v>0</v>
      </c>
      <c r="N10" s="4">
        <f>DEC!K10-DEC!L10</f>
        <v>0</v>
      </c>
      <c r="O10" s="4">
        <v>0</v>
      </c>
      <c r="P10" s="4">
        <v>0</v>
      </c>
      <c r="Q10" s="9"/>
      <c r="R10" s="9"/>
      <c r="S10" s="9"/>
      <c r="V10" s="2">
        <f>_xlfn.XLOOKUP(DEC!A:A,'SR-SS'!A:A,'SR-SS'!C:C)+TIME(0,30,0)</f>
        <v>0.730555555555556</v>
      </c>
      <c r="W10" s="2">
        <f>_xlfn.XLOOKUP(DEC!A:A,'SR-SS'!A:A,'SR-SS'!B:B)-TIME(0,30,0)</f>
        <v>0.286805555555556</v>
      </c>
    </row>
    <row r="11" spans="1:23">
      <c r="A11" s="6">
        <v>46001</v>
      </c>
      <c r="I11" s="7"/>
      <c r="J11" s="7"/>
      <c r="K11" s="4">
        <f>MOD(DEC!J11-DEC!I11,1)</f>
        <v>0</v>
      </c>
      <c r="L11" s="4">
        <f>IF(DEC!I11&lt;DEC!V11,MIN(DEC!V11-DEC!I11,DEC!K11),0)</f>
        <v>0</v>
      </c>
      <c r="M11" s="4">
        <f>DEC!K11-DEC!L11</f>
        <v>0</v>
      </c>
      <c r="N11" s="4">
        <f>DEC!K11-DEC!L11</f>
        <v>0</v>
      </c>
      <c r="O11" s="4">
        <v>0</v>
      </c>
      <c r="P11" s="4">
        <v>0</v>
      </c>
      <c r="Q11" s="9"/>
      <c r="R11" s="9"/>
      <c r="S11" s="9"/>
      <c r="V11" s="2">
        <f>_xlfn.XLOOKUP(DEC!A:A,'SR-SS'!A:A,'SR-SS'!C:C)+TIME(0,30,0)</f>
        <v>0.73125</v>
      </c>
      <c r="W11" s="2">
        <f>_xlfn.XLOOKUP(DEC!A:A,'SR-SS'!A:A,'SR-SS'!B:B)-TIME(0,30,0)</f>
        <v>0.2875</v>
      </c>
    </row>
    <row r="12" spans="1:23">
      <c r="A12" s="6">
        <v>46002</v>
      </c>
      <c r="I12" s="7"/>
      <c r="J12" s="7"/>
      <c r="K12" s="4">
        <f>MOD(DEC!J12-DEC!I12,1)</f>
        <v>0</v>
      </c>
      <c r="L12" s="4">
        <f>IF(DEC!I12&lt;DEC!V12,MIN(DEC!V12-DEC!I12,DEC!K12),0)</f>
        <v>0</v>
      </c>
      <c r="M12" s="4">
        <f>DEC!K12-DEC!L12</f>
        <v>0</v>
      </c>
      <c r="N12" s="4">
        <f>DEC!K12-DEC!L12</f>
        <v>0</v>
      </c>
      <c r="O12" s="4">
        <v>0</v>
      </c>
      <c r="P12" s="4">
        <v>0</v>
      </c>
      <c r="Q12" s="9"/>
      <c r="R12" s="9"/>
      <c r="S12" s="9"/>
      <c r="T12" s="10"/>
      <c r="V12" s="2">
        <f>_xlfn.XLOOKUP(DEC!A:A,'SR-SS'!A:A,'SR-SS'!C:C)+TIME(0,30,0)</f>
        <v>0.73125</v>
      </c>
      <c r="W12" s="2">
        <f>_xlfn.XLOOKUP(DEC!A:A,'SR-SS'!A:A,'SR-SS'!B:B)-TIME(0,30,0)</f>
        <v>0.2875</v>
      </c>
    </row>
    <row r="13" spans="1:23">
      <c r="A13" s="6">
        <v>46003</v>
      </c>
      <c r="K13" s="4">
        <f>MOD(DEC!J13-DEC!I13,1)</f>
        <v>0</v>
      </c>
      <c r="L13" s="4">
        <f>IF(DEC!I13&lt;DEC!V13,MIN(DEC!V13-DEC!I13,DEC!K13),0)</f>
        <v>0</v>
      </c>
      <c r="M13" s="4">
        <f>DEC!K13-DEC!L13</f>
        <v>0</v>
      </c>
      <c r="N13" s="4">
        <f>DEC!K13-DEC!L13</f>
        <v>0</v>
      </c>
      <c r="O13" s="4">
        <v>0</v>
      </c>
      <c r="P13" s="4">
        <v>0</v>
      </c>
      <c r="Q13" s="9"/>
      <c r="R13" s="9"/>
      <c r="S13" s="9"/>
      <c r="V13" s="2">
        <f>_xlfn.XLOOKUP(DEC!A:A,'SR-SS'!A:A,'SR-SS'!C:C)+TIME(0,30,0)</f>
        <v>0.73125</v>
      </c>
      <c r="W13" s="2">
        <f>_xlfn.XLOOKUP(DEC!A:A,'SR-SS'!A:A,'SR-SS'!B:B)-TIME(0,30,0)</f>
        <v>0.288194444444444</v>
      </c>
    </row>
    <row r="14" spans="1:23">
      <c r="A14" s="6">
        <v>46004</v>
      </c>
      <c r="K14" s="4">
        <f>MOD(DEC!J14-DEC!I14,1)</f>
        <v>0</v>
      </c>
      <c r="L14" s="4">
        <f>IF(DEC!I14&lt;DEC!V14,MIN(DEC!V14-DEC!I14,DEC!K14),0)</f>
        <v>0</v>
      </c>
      <c r="M14" s="4">
        <f>DEC!K14-DEC!L14</f>
        <v>0</v>
      </c>
      <c r="N14" s="4">
        <f>DEC!K14-DEC!L14</f>
        <v>0</v>
      </c>
      <c r="O14" s="4">
        <v>0</v>
      </c>
      <c r="P14" s="4">
        <v>0</v>
      </c>
      <c r="Q14" s="9"/>
      <c r="R14" s="9"/>
      <c r="S14" s="9"/>
      <c r="V14" s="2">
        <f>_xlfn.XLOOKUP(DEC!A:A,'SR-SS'!A:A,'SR-SS'!C:C)+TIME(0,30,0)</f>
        <v>0.73125</v>
      </c>
      <c r="W14" s="2">
        <f>_xlfn.XLOOKUP(DEC!A:A,'SR-SS'!A:A,'SR-SS'!B:B)-TIME(0,30,0)</f>
        <v>0.288888888888889</v>
      </c>
    </row>
    <row r="15" spans="1:23">
      <c r="A15" s="6">
        <v>46005</v>
      </c>
      <c r="K15" s="4">
        <f>MOD(DEC!J15-DEC!I15,1)</f>
        <v>0</v>
      </c>
      <c r="L15" s="4">
        <f>IF(DEC!I15&lt;DEC!V15,MIN(DEC!V15-DEC!I15,DEC!K15),0)</f>
        <v>0</v>
      </c>
      <c r="M15" s="4">
        <f>DEC!K15-DEC!L15</f>
        <v>0</v>
      </c>
      <c r="N15" s="4">
        <f>DEC!K15-DEC!L15</f>
        <v>0</v>
      </c>
      <c r="O15" s="4">
        <v>0</v>
      </c>
      <c r="P15" s="4">
        <v>0</v>
      </c>
      <c r="Q15" s="9"/>
      <c r="R15" s="9"/>
      <c r="S15" s="9"/>
      <c r="V15" s="2">
        <f>_xlfn.XLOOKUP(DEC!A:A,'SR-SS'!A:A,'SR-SS'!C:C)+TIME(0,30,0)</f>
        <v>0.73125</v>
      </c>
      <c r="W15" s="2">
        <f>_xlfn.XLOOKUP(DEC!A:A,'SR-SS'!A:A,'SR-SS'!B:B)-TIME(0,30,0)</f>
        <v>0.288888888888889</v>
      </c>
    </row>
    <row r="16" spans="1:23">
      <c r="A16" s="6">
        <v>46006</v>
      </c>
      <c r="K16" s="4">
        <f>MOD(DEC!J16-DEC!I16,1)</f>
        <v>0</v>
      </c>
      <c r="L16" s="4">
        <f>IF(DEC!I16&lt;DEC!V16,MIN(DEC!V16-DEC!I16,DEC!K16),0)</f>
        <v>0</v>
      </c>
      <c r="M16" s="4">
        <f>DEC!K16-DEC!L16</f>
        <v>0</v>
      </c>
      <c r="N16" s="4">
        <f>DEC!K16-DEC!L16</f>
        <v>0</v>
      </c>
      <c r="O16" s="4">
        <v>0</v>
      </c>
      <c r="P16" s="4">
        <v>0</v>
      </c>
      <c r="Q16" s="9"/>
      <c r="R16" s="9"/>
      <c r="S16" s="9"/>
      <c r="V16" s="2">
        <f>_xlfn.XLOOKUP(DEC!A:A,'SR-SS'!A:A,'SR-SS'!C:C)+TIME(0,30,0)</f>
        <v>0.731944444444445</v>
      </c>
      <c r="W16" s="2">
        <f>_xlfn.XLOOKUP(DEC!A:A,'SR-SS'!A:A,'SR-SS'!B:B)-TIME(0,30,0)</f>
        <v>0.289583333333333</v>
      </c>
    </row>
    <row r="17" spans="1:23">
      <c r="A17" s="6">
        <v>46007</v>
      </c>
      <c r="K17" s="4">
        <f>MOD(DEC!J17-DEC!I17,1)</f>
        <v>0</v>
      </c>
      <c r="L17" s="4">
        <f>IF(DEC!I17&lt;DEC!V17,MIN(DEC!V17-DEC!I17,DEC!K17),0)</f>
        <v>0</v>
      </c>
      <c r="M17" s="4">
        <f>DEC!K17-DEC!L17</f>
        <v>0</v>
      </c>
      <c r="N17" s="4">
        <f>DEC!K17-DEC!L17</f>
        <v>0</v>
      </c>
      <c r="O17" s="4">
        <v>0</v>
      </c>
      <c r="P17" s="4">
        <v>0</v>
      </c>
      <c r="Q17" s="9"/>
      <c r="R17" s="9"/>
      <c r="S17" s="9"/>
      <c r="V17" s="2">
        <f>_xlfn.XLOOKUP(DEC!A:A,'SR-SS'!A:A,'SR-SS'!C:C)+TIME(0,30,0)</f>
        <v>0.731944444444445</v>
      </c>
      <c r="W17" s="2">
        <f>_xlfn.XLOOKUP(DEC!A:A,'SR-SS'!A:A,'SR-SS'!B:B)-TIME(0,30,0)</f>
        <v>0.290277777777778</v>
      </c>
    </row>
    <row r="18" spans="1:23">
      <c r="A18" s="6">
        <v>46008</v>
      </c>
      <c r="K18" s="4">
        <f>MOD(DEC!J18-DEC!I18,1)</f>
        <v>0</v>
      </c>
      <c r="L18" s="4">
        <f>IF(DEC!I18&lt;DEC!V18,MIN(DEC!V18-DEC!I18,DEC!K18),0)</f>
        <v>0</v>
      </c>
      <c r="M18" s="4">
        <f>DEC!K18-DEC!L18</f>
        <v>0</v>
      </c>
      <c r="N18" s="4">
        <f>DEC!K18-DEC!L18</f>
        <v>0</v>
      </c>
      <c r="O18" s="4">
        <v>0</v>
      </c>
      <c r="P18" s="4">
        <v>0</v>
      </c>
      <c r="Q18" s="9"/>
      <c r="R18" s="9"/>
      <c r="S18" s="9"/>
      <c r="V18" s="2">
        <f>_xlfn.XLOOKUP(DEC!A:A,'SR-SS'!A:A,'SR-SS'!C:C)+TIME(0,30,0)</f>
        <v>0.731944444444445</v>
      </c>
      <c r="W18" s="2">
        <f>_xlfn.XLOOKUP(DEC!A:A,'SR-SS'!A:A,'SR-SS'!B:B)-TIME(0,30,0)</f>
        <v>0.290277777777778</v>
      </c>
    </row>
    <row r="19" spans="1:23">
      <c r="A19" s="6">
        <v>46009</v>
      </c>
      <c r="K19" s="4">
        <f>MOD(DEC!J19-DEC!I19,1)</f>
        <v>0</v>
      </c>
      <c r="L19" s="4">
        <f>IF(DEC!I19&lt;DEC!V19,MIN(DEC!V19-DEC!I19,DEC!K19),0)</f>
        <v>0</v>
      </c>
      <c r="M19" s="4">
        <f>DEC!K19-DEC!L19</f>
        <v>0</v>
      </c>
      <c r="N19" s="4">
        <f>DEC!K19-DEC!L19</f>
        <v>0</v>
      </c>
      <c r="O19" s="4">
        <v>0</v>
      </c>
      <c r="P19" s="4">
        <v>0</v>
      </c>
      <c r="Q19" s="9"/>
      <c r="R19" s="9"/>
      <c r="S19" s="9"/>
      <c r="V19" s="2">
        <f>_xlfn.XLOOKUP(DEC!A:A,'SR-SS'!A:A,'SR-SS'!C:C)+TIME(0,30,0)</f>
        <v>0.732638888888889</v>
      </c>
      <c r="W19" s="2">
        <f>_xlfn.XLOOKUP(DEC!A:A,'SR-SS'!A:A,'SR-SS'!B:B)-TIME(0,30,0)</f>
        <v>0.290972222222222</v>
      </c>
    </row>
    <row r="20" spans="1:23">
      <c r="A20" s="6">
        <v>46010</v>
      </c>
      <c r="K20" s="4">
        <f>MOD(DEC!J20-DEC!I20,1)</f>
        <v>0</v>
      </c>
      <c r="L20" s="4">
        <f>IF(DEC!I20&lt;DEC!V20,MIN(DEC!V20-DEC!I20,DEC!K20),0)</f>
        <v>0</v>
      </c>
      <c r="M20" s="4">
        <f>DEC!K20-DEC!L20</f>
        <v>0</v>
      </c>
      <c r="N20" s="4">
        <f>DEC!K20-DEC!L20</f>
        <v>0</v>
      </c>
      <c r="O20" s="4">
        <v>0</v>
      </c>
      <c r="P20" s="4">
        <v>0</v>
      </c>
      <c r="Q20" s="9"/>
      <c r="R20" s="9"/>
      <c r="S20" s="9"/>
      <c r="V20" s="2">
        <f>_xlfn.XLOOKUP(DEC!A:A,'SR-SS'!A:A,'SR-SS'!C:C)+TIME(0,30,0)</f>
        <v>0.732638888888889</v>
      </c>
      <c r="W20" s="2">
        <f>_xlfn.XLOOKUP(DEC!A:A,'SR-SS'!A:A,'SR-SS'!B:B)-TIME(0,30,0)</f>
        <v>0.291666666666667</v>
      </c>
    </row>
    <row r="21" spans="1:23">
      <c r="A21" s="6">
        <v>46011</v>
      </c>
      <c r="K21" s="4">
        <f>MOD(DEC!J21-DEC!I21,1)</f>
        <v>0</v>
      </c>
      <c r="L21" s="4">
        <f>IF(DEC!I21&lt;DEC!V21,MIN(DEC!V21-DEC!I21,DEC!K21),0)</f>
        <v>0</v>
      </c>
      <c r="M21" s="4">
        <f>DEC!K21-DEC!L21</f>
        <v>0</v>
      </c>
      <c r="N21" s="4">
        <f>DEC!K21-DEC!L21</f>
        <v>0</v>
      </c>
      <c r="O21" s="4">
        <v>0</v>
      </c>
      <c r="P21" s="4">
        <v>0</v>
      </c>
      <c r="Q21" s="9"/>
      <c r="R21" s="9"/>
      <c r="S21" s="9"/>
      <c r="V21" s="2">
        <f>_xlfn.XLOOKUP(DEC!A:A,'SR-SS'!A:A,'SR-SS'!C:C)+TIME(0,30,0)</f>
        <v>0.733333333333333</v>
      </c>
      <c r="W21" s="2">
        <f>_xlfn.XLOOKUP(DEC!A:A,'SR-SS'!A:A,'SR-SS'!B:B)-TIME(0,30,0)</f>
        <v>0.291666666666667</v>
      </c>
    </row>
    <row r="22" spans="1:23">
      <c r="A22" s="6">
        <v>46012</v>
      </c>
      <c r="K22" s="4">
        <f>MOD(DEC!J22-DEC!I22,1)</f>
        <v>0</v>
      </c>
      <c r="L22" s="4">
        <f>IF(DEC!I22&lt;DEC!V22,MIN(DEC!V22-DEC!I22,DEC!K22),0)</f>
        <v>0</v>
      </c>
      <c r="M22" s="4">
        <f>DEC!K22-DEC!L22</f>
        <v>0</v>
      </c>
      <c r="N22" s="4">
        <f>DEC!K22-DEC!L22</f>
        <v>0</v>
      </c>
      <c r="O22" s="4">
        <v>0</v>
      </c>
      <c r="P22" s="4">
        <v>0</v>
      </c>
      <c r="Q22" s="9"/>
      <c r="R22" s="9"/>
      <c r="S22" s="9"/>
      <c r="V22" s="2">
        <f>_xlfn.XLOOKUP(DEC!A:A,'SR-SS'!A:A,'SR-SS'!C:C)+TIME(0,30,0)</f>
        <v>0.733333333333333</v>
      </c>
      <c r="W22" s="2">
        <f>_xlfn.XLOOKUP(DEC!A:A,'SR-SS'!A:A,'SR-SS'!B:B)-TIME(0,30,0)</f>
        <v>0.292361111111111</v>
      </c>
    </row>
    <row r="23" spans="1:23">
      <c r="A23" s="6">
        <v>46013</v>
      </c>
      <c r="K23" s="4">
        <f>MOD(DEC!J23-DEC!I23,1)</f>
        <v>0</v>
      </c>
      <c r="L23" s="4">
        <f>IF(DEC!I23&lt;DEC!V23,MIN(DEC!V23-DEC!I23,DEC!K23),0)</f>
        <v>0</v>
      </c>
      <c r="M23" s="4">
        <f>DEC!K23-DEC!L23</f>
        <v>0</v>
      </c>
      <c r="N23" s="4">
        <f>DEC!K23-DEC!L23</f>
        <v>0</v>
      </c>
      <c r="O23" s="4">
        <v>0</v>
      </c>
      <c r="P23" s="4">
        <v>0</v>
      </c>
      <c r="Q23" s="9"/>
      <c r="R23" s="9"/>
      <c r="S23" s="9"/>
      <c r="V23" s="2">
        <f>_xlfn.XLOOKUP(DEC!A:A,'SR-SS'!A:A,'SR-SS'!C:C)+TIME(0,30,0)</f>
        <v>0.734027777777778</v>
      </c>
      <c r="W23" s="2">
        <f>_xlfn.XLOOKUP(DEC!A:A,'SR-SS'!A:A,'SR-SS'!B:B)-TIME(0,30,0)</f>
        <v>0.292361111111111</v>
      </c>
    </row>
    <row r="24" spans="1:23">
      <c r="A24" s="6">
        <v>46014</v>
      </c>
      <c r="K24" s="4">
        <f>MOD(DEC!J24-DEC!I24,1)</f>
        <v>0</v>
      </c>
      <c r="L24" s="4">
        <f>IF(DEC!I24&lt;DEC!V24,MIN(DEC!V24-DEC!I24,DEC!K24),0)</f>
        <v>0</v>
      </c>
      <c r="M24" s="4">
        <f>DEC!K24-DEC!L24</f>
        <v>0</v>
      </c>
      <c r="N24" s="4">
        <f>DEC!K24-DEC!L24</f>
        <v>0</v>
      </c>
      <c r="O24" s="4">
        <v>0</v>
      </c>
      <c r="P24" s="4">
        <v>0</v>
      </c>
      <c r="Q24" s="9"/>
      <c r="R24" s="9"/>
      <c r="S24" s="9"/>
      <c r="V24" s="2">
        <f>_xlfn.XLOOKUP(DEC!A:A,'SR-SS'!A:A,'SR-SS'!C:C)+TIME(0,30,0)</f>
        <v>0.734027777777778</v>
      </c>
      <c r="W24" s="2">
        <f>_xlfn.XLOOKUP(DEC!A:A,'SR-SS'!A:A,'SR-SS'!B:B)-TIME(0,30,0)</f>
        <v>0.293055555555556</v>
      </c>
    </row>
    <row r="25" spans="1:23">
      <c r="A25" s="6">
        <v>46015</v>
      </c>
      <c r="K25" s="4">
        <f>MOD(DEC!J25-DEC!I25,1)</f>
        <v>0</v>
      </c>
      <c r="L25" s="4">
        <f>IF(DEC!I25&lt;DEC!V25,MIN(DEC!V25-DEC!I25,DEC!K25),0)</f>
        <v>0</v>
      </c>
      <c r="M25" s="4">
        <f>DEC!K25-DEC!L25</f>
        <v>0</v>
      </c>
      <c r="N25" s="4">
        <f>DEC!K25-DEC!L25</f>
        <v>0</v>
      </c>
      <c r="O25" s="4">
        <v>0</v>
      </c>
      <c r="P25" s="4">
        <v>0</v>
      </c>
      <c r="Q25" s="9"/>
      <c r="R25" s="9"/>
      <c r="S25" s="9"/>
      <c r="V25" s="2">
        <f>_xlfn.XLOOKUP(DEC!A:A,'SR-SS'!A:A,'SR-SS'!C:C)+TIME(0,30,0)</f>
        <v>0.734722222222222</v>
      </c>
      <c r="W25" s="2">
        <f>_xlfn.XLOOKUP(DEC!A:A,'SR-SS'!A:A,'SR-SS'!B:B)-TIME(0,30,0)</f>
        <v>0.293055555555556</v>
      </c>
    </row>
    <row r="26" spans="1:23">
      <c r="A26" s="6">
        <v>46016</v>
      </c>
      <c r="K26" s="4">
        <f>MOD(DEC!J26-DEC!I26,1)</f>
        <v>0</v>
      </c>
      <c r="L26" s="4">
        <f>IF(DEC!I26&lt;DEC!V26,MIN(DEC!V26-DEC!I26,DEC!K26),0)</f>
        <v>0</v>
      </c>
      <c r="M26" s="4">
        <f>DEC!K26-DEC!L26</f>
        <v>0</v>
      </c>
      <c r="N26" s="4">
        <f>DEC!K26-DEC!L26</f>
        <v>0</v>
      </c>
      <c r="O26" s="4">
        <v>0</v>
      </c>
      <c r="P26" s="4">
        <v>0</v>
      </c>
      <c r="Q26" s="9"/>
      <c r="R26" s="9"/>
      <c r="S26" s="9"/>
      <c r="V26" s="2">
        <f>_xlfn.XLOOKUP(DEC!A:A,'SR-SS'!A:A,'SR-SS'!C:C)+TIME(0,30,0)</f>
        <v>0.734722222222222</v>
      </c>
      <c r="W26" s="2">
        <f>_xlfn.XLOOKUP(DEC!A:A,'SR-SS'!A:A,'SR-SS'!B:B)-TIME(0,30,0)</f>
        <v>0.293055555555556</v>
      </c>
    </row>
    <row r="27" spans="1:23">
      <c r="A27" s="6">
        <v>46017</v>
      </c>
      <c r="K27" s="4">
        <f>MOD(DEC!J27-DEC!I27,1)</f>
        <v>0</v>
      </c>
      <c r="L27" s="4">
        <f>IF(DEC!I27&lt;DEC!V27,MIN(DEC!V27-DEC!I27,DEC!K27),0)</f>
        <v>0</v>
      </c>
      <c r="M27" s="4">
        <f>DEC!K27-DEC!L27</f>
        <v>0</v>
      </c>
      <c r="N27" s="4">
        <f>DEC!K27-DEC!L27</f>
        <v>0</v>
      </c>
      <c r="O27" s="4">
        <v>0</v>
      </c>
      <c r="P27" s="4">
        <v>0</v>
      </c>
      <c r="Q27" s="9"/>
      <c r="R27" s="9"/>
      <c r="S27" s="9"/>
      <c r="V27" s="2">
        <f>_xlfn.XLOOKUP(DEC!A:A,'SR-SS'!A:A,'SR-SS'!C:C)+TIME(0,30,0)</f>
        <v>0.735416666666667</v>
      </c>
      <c r="W27" s="2">
        <f>_xlfn.XLOOKUP(DEC!A:A,'SR-SS'!A:A,'SR-SS'!B:B)-TIME(0,30,0)</f>
        <v>0.29375</v>
      </c>
    </row>
    <row r="28" spans="1:23">
      <c r="A28" s="6">
        <v>46018</v>
      </c>
      <c r="K28" s="4">
        <f>MOD(DEC!J28-DEC!I28,1)</f>
        <v>0</v>
      </c>
      <c r="L28" s="4">
        <f>IF(DEC!I28&lt;DEC!V28,MIN(DEC!V28-DEC!I28,DEC!K28),0)</f>
        <v>0</v>
      </c>
      <c r="M28" s="4">
        <f>DEC!K28-DEC!L28</f>
        <v>0</v>
      </c>
      <c r="N28" s="4">
        <f>DEC!K28-DEC!L28</f>
        <v>0</v>
      </c>
      <c r="O28" s="4">
        <v>0</v>
      </c>
      <c r="P28" s="4">
        <v>0</v>
      </c>
      <c r="Q28" s="9"/>
      <c r="R28" s="9"/>
      <c r="S28" s="9"/>
      <c r="V28" s="2">
        <f>_xlfn.XLOOKUP(DEC!A:A,'SR-SS'!A:A,'SR-SS'!C:C)+TIME(0,30,0)</f>
        <v>0.736111111111111</v>
      </c>
      <c r="W28" s="2">
        <f>_xlfn.XLOOKUP(DEC!A:A,'SR-SS'!A:A,'SR-SS'!B:B)-TIME(0,30,0)</f>
        <v>0.29375</v>
      </c>
    </row>
    <row r="29" spans="1:23">
      <c r="A29" s="6">
        <v>46019</v>
      </c>
      <c r="K29" s="4">
        <f>MOD(DEC!J29-DEC!I29,1)</f>
        <v>0</v>
      </c>
      <c r="L29" s="4">
        <f>IF(DEC!I29&lt;DEC!V29,MIN(DEC!V29-DEC!I29,DEC!K29),0)</f>
        <v>0</v>
      </c>
      <c r="M29" s="4">
        <f>DEC!K29-DEC!L29</f>
        <v>0</v>
      </c>
      <c r="N29" s="4">
        <f>DEC!K29-DEC!L29</f>
        <v>0</v>
      </c>
      <c r="O29" s="4">
        <v>0</v>
      </c>
      <c r="P29" s="4">
        <v>0</v>
      </c>
      <c r="Q29" s="9"/>
      <c r="R29" s="9"/>
      <c r="S29" s="9"/>
      <c r="V29" s="2">
        <f>_xlfn.XLOOKUP(DEC!A:A,'SR-SS'!A:A,'SR-SS'!C:C)+TIME(0,30,0)</f>
        <v>0.736111111111111</v>
      </c>
      <c r="W29" s="2">
        <f>_xlfn.XLOOKUP(DEC!A:A,'SR-SS'!A:A,'SR-SS'!B:B)-TIME(0,30,0)</f>
        <v>0.294444444444444</v>
      </c>
    </row>
    <row r="30" spans="1:23">
      <c r="A30" s="6">
        <v>46020</v>
      </c>
      <c r="K30" s="4">
        <f>MOD(DEC!J30-DEC!I30,1)</f>
        <v>0</v>
      </c>
      <c r="L30" s="4">
        <f>IF(DEC!I30&lt;DEC!V30,MIN(DEC!V30-DEC!I30,DEC!K30),0)</f>
        <v>0</v>
      </c>
      <c r="M30" s="4">
        <f>DEC!K30-DEC!L30</f>
        <v>0</v>
      </c>
      <c r="N30" s="4">
        <f>DEC!K30-DEC!L30</f>
        <v>0</v>
      </c>
      <c r="O30" s="4">
        <v>0</v>
      </c>
      <c r="P30" s="4">
        <v>0</v>
      </c>
      <c r="Q30" s="9"/>
      <c r="R30" s="9"/>
      <c r="S30" s="9"/>
      <c r="V30" s="2">
        <f>_xlfn.XLOOKUP(DEC!A:A,'SR-SS'!A:A,'SR-SS'!C:C)+TIME(0,30,0)</f>
        <v>0.736805555555556</v>
      </c>
      <c r="W30" s="2">
        <f>_xlfn.XLOOKUP(DEC!A:A,'SR-SS'!A:A,'SR-SS'!B:B)-TIME(0,30,0)</f>
        <v>0.294444444444444</v>
      </c>
    </row>
    <row r="31" spans="1:23">
      <c r="A31" s="6">
        <v>46021</v>
      </c>
      <c r="K31" s="4">
        <f>MOD(DEC!J31-DEC!I31,1)</f>
        <v>0</v>
      </c>
      <c r="L31" s="4">
        <f>IF(DEC!I31&lt;DEC!V31,MIN(DEC!V31-DEC!I31,DEC!K31),0)</f>
        <v>0</v>
      </c>
      <c r="M31" s="4">
        <f>DEC!K31-DEC!L31</f>
        <v>0</v>
      </c>
      <c r="N31" s="4">
        <f>DEC!K31-DEC!L31</f>
        <v>0</v>
      </c>
      <c r="O31" s="4">
        <v>0</v>
      </c>
      <c r="P31" s="4">
        <v>0</v>
      </c>
      <c r="Q31" s="9"/>
      <c r="R31" s="9"/>
      <c r="S31" s="9"/>
      <c r="V31" s="2">
        <f>_xlfn.XLOOKUP(DEC!A:A,'SR-SS'!A:A,'SR-SS'!C:C)+TIME(0,30,0)</f>
        <v>0.7375</v>
      </c>
      <c r="W31" s="2">
        <f>_xlfn.XLOOKUP(DEC!A:A,'SR-SS'!A:A,'SR-SS'!B:B)-TIME(0,30,0)</f>
        <v>0.294444444444444</v>
      </c>
    </row>
    <row r="32" spans="1:23">
      <c r="A32" s="6">
        <v>46022</v>
      </c>
      <c r="K32" s="4">
        <f>MOD(DEC!J32-DEC!I32,1)</f>
        <v>0</v>
      </c>
      <c r="L32" s="4">
        <f>IF(DEC!I32&lt;DEC!V32,MIN(DEC!V32-DEC!I32,DEC!K32),0)</f>
        <v>0</v>
      </c>
      <c r="M32" s="4">
        <f>DEC!K32-DEC!L32</f>
        <v>0</v>
      </c>
      <c r="N32" s="4">
        <f>DEC!K32-DEC!L32</f>
        <v>0</v>
      </c>
      <c r="O32" s="4">
        <v>0</v>
      </c>
      <c r="P32" s="4">
        <v>0</v>
      </c>
      <c r="Q32" s="9"/>
      <c r="R32" s="9"/>
      <c r="S32" s="9"/>
      <c r="V32" s="2">
        <f>_xlfn.XLOOKUP(DEC!A:A,'SR-SS'!A:A,'SR-SS'!C:C)+TIME(0,30,0)</f>
        <v>0.7375</v>
      </c>
      <c r="W32" s="2">
        <f>_xlfn.XLOOKUP(DEC!A:A,'SR-SS'!A:A,'SR-SS'!B:B)-TIME(0,30,0)</f>
        <v>0.294444444444444</v>
      </c>
    </row>
    <row r="33" spans="1:19">
      <c r="A33" s="6" t="s">
        <v>39</v>
      </c>
      <c r="K33" s="7">
        <f>SUM(Table16[Flight Duration])</f>
        <v>0</v>
      </c>
      <c r="L33" s="4">
        <f>SUM(Table16[Day Duration])</f>
        <v>0</v>
      </c>
      <c r="M33" s="4">
        <f>SUM(Table16[Night Duration])</f>
        <v>0</v>
      </c>
      <c r="N33" s="4">
        <f>SUM(Table16[NVG Duration])</f>
        <v>0</v>
      </c>
      <c r="O33" s="4">
        <f>SUM(Table16[Simulated IFR])</f>
        <v>0</v>
      </c>
      <c r="P33" s="4">
        <f>SUM(Table16[Real IFR])</f>
        <v>0</v>
      </c>
      <c r="Q33" s="9">
        <f>SUM(Table16[Takeoffs])</f>
        <v>0</v>
      </c>
      <c r="R33" s="9">
        <f>SUM(Table16[Landings])</f>
        <v>0</v>
      </c>
      <c r="S33" s="9">
        <f>SUM(Table16[Inst. Apps])</f>
        <v>0</v>
      </c>
    </row>
  </sheetData>
  <printOptions headings="1"/>
  <pageMargins left="0.75" right="0.75" top="1" bottom="1" header="0.5" footer="0.5"/>
  <pageSetup paperSize="9" scale="40" fitToWidth="0" fitToHeight="0" orientation="landscape" horizontalDpi="600" verticalDpi="600"/>
  <headerFooter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23"/>
  <sheetViews>
    <sheetView workbookViewId="0">
      <selection activeCell="A1" sqref="A1"/>
    </sheetView>
  </sheetViews>
  <sheetFormatPr defaultColWidth="9" defaultRowHeight="14.25"/>
  <cols>
    <col min="1" max="1" width="19.203125" style="1"/>
    <col min="2" max="2" width="19.6953125" style="1"/>
    <col min="3" max="3" width="18.03125" style="1"/>
    <col min="4" max="4" width="20.03125" style="1"/>
    <col min="5" max="5" width="19.2734375" style="1"/>
    <col min="6" max="6" width="24.3359375" style="1"/>
    <col min="7" max="7" width="20.875" style="1"/>
    <col min="8" max="8" width="20.8046875" style="1"/>
    <col min="9" max="9" width="20.5234375" style="1"/>
    <col min="10" max="16384" width="9" style="1"/>
  </cols>
  <sheetData>
    <row r="2" spans="1:4">
      <c r="A2" s="1" t="s">
        <v>53</v>
      </c>
      <c r="B2" s="1" t="s">
        <v>46</v>
      </c>
      <c r="C2" s="1" t="s">
        <v>54</v>
      </c>
      <c r="D2" s="1" t="s">
        <v>37</v>
      </c>
    </row>
    <row r="3" spans="1:4">
      <c r="A3" s="4">
        <f>SUM(Table5[[#Totals],[Day Duration]],Table6[[#Totals],[Day Duration]],Table8[[#Totals],[Day Duration]],Table1[[#Totals],[Day Duration]],Table9[[#Totals],[Day Duration]],Table10[[#Totals],[Day Duration]],Table11[[#Totals],[Day Duration]],Table12[[#Totals],[Day Duration]],Table13[[#Totals],[Day Duration]],Table14[[#Totals],[Day Duration]],Table15[[#Totals],[Day Duration]],Table16[[#Totals],[Day Duration]])</f>
        <v>0.8375</v>
      </c>
      <c r="B3" s="4">
        <f>SUM(Table5[[#Totals],[Simulated IFR]],Table5[[#Totals],[Real IFR]],Table6[[#Totals],[Simulated IFR]],Table6[[#Totals],[Real IFR]],Table8[[#Totals],[Simulated IFR]],Table8[[#Totals],[Real IFR]],Table1[[#Totals],[Simulated IFR]],Table1[[#Totals],[Real IFR]],Table9[[#Totals],[Simulated IFR]],Table9[[#Totals],[Real IFR]],Table10[[#Totals],[Simulated IFR]],Table10[[#Totals],[Simulated IFR]],Table11[[#Totals],[Simulated IFR]],Table11[[#Totals],[Real IFR]],Table12[[#Totals],[Simulated IFR]],Table12[[#Totals],[Real IFR]],Table13[[#Totals],[Simulated IFR]],Table13[[#Totals],[Real IFR]],Table14[[#Totals],[Simulated IFR]],Table14[[#Totals],[Real IFR]],Table15[[#Totals],[Simulated IFR]],Table15[[#Totals],[Real IFR]],Table16[[#Totals],[Real IFR]])</f>
        <v>0.0416666666666667</v>
      </c>
      <c r="C3" s="4">
        <f>SUM(Table5[[#Totals],[Night Duration]],Table6[[#Totals],[Night Duration]],Table8[[#Totals],[Night Duration]],Table1[[#Totals],[Night Duration]],Table9[[#Totals],[Night Duration]],Table10[[#Totals],[Night Duration]],Table11[[#Totals],[Night Duration]],Table12[[#Totals],[Night Duration]],Table13[[#Totals],[Night Duration]],Table14[[#Totals],[Night Duration]],Table15[[#Totals],[Night Duration]],Table16[[#Totals],[Night Duration]])</f>
        <v>0.165972222222222</v>
      </c>
      <c r="D3" s="4">
        <f>SUM(Table5[[#Totals],[NVG Duration]],Table6[[#Totals],[NVG Duration]],Table8[[#Totals],[NVG Duration]],Table1[[#Totals],[NVG Duration]],Table9[[#Totals],[NVG Duration]],Table10[[#Totals],[NVG Duration]],Table11[[#Totals],[NVG Duration]],Table12[[#Totals],[NVG Duration]],Table13[[#Totals],[NVG Duration]],Table14[[#Totals],[NVG Duration]],Table15[[#Totals],[NVG Duration]],Table16[[#Totals],[NVG Duration]])</f>
        <v>0.165972222222222</v>
      </c>
    </row>
    <row r="5" spans="1:2">
      <c r="A5" s="1" t="s">
        <v>55</v>
      </c>
      <c r="B5" s="2">
        <f>SUM(Table5[[#Totals],[Flight Duration]],Table6[[#Totals],[Flight Duration]],Table8[[#Totals],[Flight Duration]],Table1[[#Totals],[Flight Duration]],Table9[[#Totals],[Flight Duration]],Table10[[#Totals],[Flight Duration]],Table11[[#Totals],[Flight Duration]],Table12[[#Totals],[Flight Duration]],Table13[[#Totals],[Flight Duration]],Table14[[#Totals],[Flight Duration]],Table15[[#Totals],[Flight Duration]],Table16[[#Totals],[Flight Duration]])</f>
        <v>1.00347222222222</v>
      </c>
    </row>
    <row r="6" spans="1:2">
      <c r="A6" s="1" t="s">
        <v>56</v>
      </c>
      <c r="B6" s="2">
        <f>Past!A2+B5</f>
        <v>28.05</v>
      </c>
    </row>
    <row r="7" spans="1:2">
      <c r="A7" s="1" t="s">
        <v>46</v>
      </c>
      <c r="B7" s="2">
        <f>Past!G2+B3</f>
        <v>2.63472222222222</v>
      </c>
    </row>
    <row r="8" spans="1:2">
      <c r="A8" s="1" t="s">
        <v>54</v>
      </c>
      <c r="B8" s="2">
        <f>Past!E2+B9</f>
        <v>2.30277777777778</v>
      </c>
    </row>
    <row r="9" spans="1:2">
      <c r="A9" s="1" t="s">
        <v>37</v>
      </c>
      <c r="B9" s="2">
        <f>Past!F2+D3</f>
        <v>2.01041666666667</v>
      </c>
    </row>
    <row r="10" spans="1:5">
      <c r="A10" s="1" t="s">
        <v>57</v>
      </c>
      <c r="B10" s="2">
        <f>B6-B13</f>
        <v>24.8756944444444</v>
      </c>
      <c r="E10" s="4"/>
    </row>
    <row r="11" spans="1:2">
      <c r="A11" s="1" t="s">
        <v>23</v>
      </c>
      <c r="B11" s="2">
        <f>Past!D2+B5</f>
        <v>22.8930555555556</v>
      </c>
    </row>
    <row r="12" spans="1:2">
      <c r="A12" s="1" t="s">
        <v>58</v>
      </c>
      <c r="B12" s="2">
        <f>Past!C2</f>
        <v>1.98263888888889</v>
      </c>
    </row>
    <row r="13" spans="1:2">
      <c r="A13" s="1" t="s">
        <v>59</v>
      </c>
      <c r="B13" s="2">
        <f>Past!B2</f>
        <v>3.17430555555556</v>
      </c>
    </row>
    <row r="23" spans="3:10">
      <c r="C23" s="2"/>
      <c r="D23" s="2"/>
      <c r="F23" s="2"/>
      <c r="G23" s="2"/>
      <c r="H23" s="2"/>
      <c r="J23" s="2"/>
    </row>
  </sheetData>
  <pageMargins left="0.75" right="0.75" top="1" bottom="1" header="0.5" footer="0.5"/>
  <pageSetup paperSize="9" orientation="portrait" horizontalDpi="600" verticalDpi="6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66"/>
  <sheetViews>
    <sheetView workbookViewId="0">
      <selection activeCell="A1" sqref="A1"/>
    </sheetView>
  </sheetViews>
  <sheetFormatPr defaultColWidth="9" defaultRowHeight="14.25" outlineLevelCol="2"/>
  <cols>
    <col min="1" max="1" width="12.8515625" customWidth="1"/>
    <col min="2" max="3" width="9.140625" customWidth="1"/>
  </cols>
  <sheetData>
    <row r="1" spans="1:3">
      <c r="A1" s="1" t="s">
        <v>60</v>
      </c>
      <c r="B1" s="1" t="s">
        <v>61</v>
      </c>
      <c r="C1" s="1" t="s">
        <v>62</v>
      </c>
    </row>
    <row r="2" spans="1:3">
      <c r="A2" s="3">
        <v>45658</v>
      </c>
      <c r="B2" s="1" t="s">
        <v>63</v>
      </c>
      <c r="C2" s="1" t="s">
        <v>64</v>
      </c>
    </row>
    <row r="3" spans="1:3">
      <c r="A3" s="3">
        <v>45659</v>
      </c>
      <c r="B3" s="1" t="s">
        <v>65</v>
      </c>
      <c r="C3" s="1" t="s">
        <v>66</v>
      </c>
    </row>
    <row r="4" spans="1:3">
      <c r="A4" s="3">
        <v>45660</v>
      </c>
      <c r="B4" s="1" t="s">
        <v>65</v>
      </c>
      <c r="C4" s="1" t="s">
        <v>67</v>
      </c>
    </row>
    <row r="5" spans="1:3">
      <c r="A5" s="3">
        <v>45661</v>
      </c>
      <c r="B5" s="1" t="s">
        <v>65</v>
      </c>
      <c r="C5" s="1" t="s">
        <v>68</v>
      </c>
    </row>
    <row r="6" spans="1:3">
      <c r="A6" s="3">
        <v>45662</v>
      </c>
      <c r="B6" s="1" t="s">
        <v>65</v>
      </c>
      <c r="C6" s="1" t="s">
        <v>69</v>
      </c>
    </row>
    <row r="7" spans="1:3">
      <c r="A7" s="3">
        <v>45663</v>
      </c>
      <c r="B7" s="1" t="s">
        <v>65</v>
      </c>
      <c r="C7" s="1" t="s">
        <v>70</v>
      </c>
    </row>
    <row r="8" spans="1:3">
      <c r="A8" s="3">
        <v>45664</v>
      </c>
      <c r="B8" s="1" t="s">
        <v>65</v>
      </c>
      <c r="C8" s="1" t="s">
        <v>71</v>
      </c>
    </row>
    <row r="9" spans="1:3">
      <c r="A9" s="3">
        <v>45665</v>
      </c>
      <c r="B9" s="1" t="s">
        <v>65</v>
      </c>
      <c r="C9" s="1" t="s">
        <v>71</v>
      </c>
    </row>
    <row r="10" spans="1:3">
      <c r="A10" s="3">
        <v>45666</v>
      </c>
      <c r="B10" s="1" t="s">
        <v>65</v>
      </c>
      <c r="C10" s="1" t="s">
        <v>72</v>
      </c>
    </row>
    <row r="11" spans="1:3">
      <c r="A11" s="3">
        <v>45667</v>
      </c>
      <c r="B11" s="1" t="s">
        <v>63</v>
      </c>
      <c r="C11" s="1" t="s">
        <v>73</v>
      </c>
    </row>
    <row r="12" spans="1:3">
      <c r="A12" s="3">
        <v>45668</v>
      </c>
      <c r="B12" s="1" t="s">
        <v>63</v>
      </c>
      <c r="C12" s="1" t="s">
        <v>74</v>
      </c>
    </row>
    <row r="13" spans="1:3">
      <c r="A13" s="3">
        <v>45669</v>
      </c>
      <c r="B13" s="1" t="s">
        <v>63</v>
      </c>
      <c r="C13" s="1" t="s">
        <v>75</v>
      </c>
    </row>
    <row r="14" spans="1:3">
      <c r="A14" s="3">
        <v>45670</v>
      </c>
      <c r="B14" s="1" t="s">
        <v>63</v>
      </c>
      <c r="C14" s="1" t="s">
        <v>76</v>
      </c>
    </row>
    <row r="15" spans="1:3">
      <c r="A15" s="3">
        <v>45671</v>
      </c>
      <c r="B15" s="1" t="s">
        <v>63</v>
      </c>
      <c r="C15" s="1" t="s">
        <v>77</v>
      </c>
    </row>
    <row r="16" spans="1:3">
      <c r="A16" s="3">
        <v>45672</v>
      </c>
      <c r="B16" s="1" t="s">
        <v>78</v>
      </c>
      <c r="C16" s="1" t="s">
        <v>79</v>
      </c>
    </row>
    <row r="17" spans="1:3">
      <c r="A17" s="3">
        <v>45673</v>
      </c>
      <c r="B17" s="1" t="s">
        <v>78</v>
      </c>
      <c r="C17" s="1" t="s">
        <v>80</v>
      </c>
    </row>
    <row r="18" spans="1:3">
      <c r="A18" s="3">
        <v>45674</v>
      </c>
      <c r="B18" s="1" t="s">
        <v>78</v>
      </c>
      <c r="C18" s="1" t="s">
        <v>81</v>
      </c>
    </row>
    <row r="19" spans="1:3">
      <c r="A19" s="3">
        <v>45675</v>
      </c>
      <c r="B19" s="1" t="s">
        <v>82</v>
      </c>
      <c r="C19" s="1" t="s">
        <v>83</v>
      </c>
    </row>
    <row r="20" spans="1:3">
      <c r="A20" s="3">
        <v>45676</v>
      </c>
      <c r="B20" s="1" t="s">
        <v>82</v>
      </c>
      <c r="C20" s="1" t="s">
        <v>84</v>
      </c>
    </row>
    <row r="21" spans="1:3">
      <c r="A21" s="3">
        <v>45677</v>
      </c>
      <c r="B21" s="1" t="s">
        <v>85</v>
      </c>
      <c r="C21" s="1" t="s">
        <v>86</v>
      </c>
    </row>
    <row r="22" spans="1:3">
      <c r="A22" s="3">
        <v>45678</v>
      </c>
      <c r="B22" s="1" t="s">
        <v>85</v>
      </c>
      <c r="C22" s="1" t="s">
        <v>87</v>
      </c>
    </row>
    <row r="23" spans="1:3">
      <c r="A23" s="3">
        <v>45679</v>
      </c>
      <c r="B23" s="1" t="s">
        <v>88</v>
      </c>
      <c r="C23" s="1" t="s">
        <v>89</v>
      </c>
    </row>
    <row r="24" spans="1:3">
      <c r="A24" s="3">
        <v>45680</v>
      </c>
      <c r="B24" s="1" t="s">
        <v>88</v>
      </c>
      <c r="C24" s="1" t="s">
        <v>90</v>
      </c>
    </row>
    <row r="25" spans="1:3">
      <c r="A25" s="3">
        <v>45681</v>
      </c>
      <c r="B25" s="1" t="s">
        <v>91</v>
      </c>
      <c r="C25" s="1" t="s">
        <v>92</v>
      </c>
    </row>
    <row r="26" spans="1:3">
      <c r="A26" s="3">
        <v>45682</v>
      </c>
      <c r="B26" s="1" t="s">
        <v>93</v>
      </c>
      <c r="C26" s="1" t="s">
        <v>94</v>
      </c>
    </row>
    <row r="27" spans="1:3">
      <c r="A27" s="3">
        <v>45683</v>
      </c>
      <c r="B27" s="1" t="s">
        <v>93</v>
      </c>
      <c r="C27" s="1" t="s">
        <v>95</v>
      </c>
    </row>
    <row r="28" spans="1:3">
      <c r="A28" s="3">
        <v>45684</v>
      </c>
      <c r="B28" s="1" t="s">
        <v>96</v>
      </c>
      <c r="C28" s="1" t="s">
        <v>97</v>
      </c>
    </row>
    <row r="29" spans="1:3">
      <c r="A29" s="3">
        <v>45685</v>
      </c>
      <c r="B29" s="1" t="s">
        <v>98</v>
      </c>
      <c r="C29" s="1" t="s">
        <v>99</v>
      </c>
    </row>
    <row r="30" spans="1:3">
      <c r="A30" s="3">
        <v>45686</v>
      </c>
      <c r="B30" s="1" t="s">
        <v>98</v>
      </c>
      <c r="C30" s="1" t="s">
        <v>100</v>
      </c>
    </row>
    <row r="31" spans="1:3">
      <c r="A31" s="3">
        <v>45687</v>
      </c>
      <c r="B31" s="1" t="s">
        <v>101</v>
      </c>
      <c r="C31" s="1" t="s">
        <v>102</v>
      </c>
    </row>
    <row r="32" spans="1:3">
      <c r="A32" s="3">
        <v>45688</v>
      </c>
      <c r="B32" s="1" t="s">
        <v>103</v>
      </c>
      <c r="C32" s="1" t="s">
        <v>104</v>
      </c>
    </row>
    <row r="33" spans="1:3">
      <c r="A33" s="3">
        <v>45689</v>
      </c>
      <c r="B33" s="1" t="s">
        <v>105</v>
      </c>
      <c r="C33" s="1" t="s">
        <v>106</v>
      </c>
    </row>
    <row r="34" spans="1:3">
      <c r="A34" s="3">
        <v>45690</v>
      </c>
      <c r="B34" s="1" t="s">
        <v>107</v>
      </c>
      <c r="C34" s="1" t="s">
        <v>108</v>
      </c>
    </row>
    <row r="35" spans="1:3">
      <c r="A35" s="3">
        <v>45691</v>
      </c>
      <c r="B35" s="1" t="s">
        <v>107</v>
      </c>
      <c r="C35" s="1" t="s">
        <v>109</v>
      </c>
    </row>
    <row r="36" spans="1:3">
      <c r="A36" s="3">
        <v>45692</v>
      </c>
      <c r="B36" s="1" t="s">
        <v>110</v>
      </c>
      <c r="C36" s="1" t="s">
        <v>111</v>
      </c>
    </row>
    <row r="37" spans="1:3">
      <c r="A37" s="3">
        <v>45693</v>
      </c>
      <c r="B37" s="1" t="s">
        <v>112</v>
      </c>
      <c r="C37" s="1" t="s">
        <v>113</v>
      </c>
    </row>
    <row r="38" spans="1:3">
      <c r="A38" s="3">
        <v>45694</v>
      </c>
      <c r="B38" s="1" t="s">
        <v>114</v>
      </c>
      <c r="C38" s="1" t="s">
        <v>115</v>
      </c>
    </row>
    <row r="39" spans="1:3">
      <c r="A39" s="3">
        <v>45695</v>
      </c>
      <c r="B39" s="1" t="s">
        <v>116</v>
      </c>
      <c r="C39" s="1" t="s">
        <v>117</v>
      </c>
    </row>
    <row r="40" spans="1:3">
      <c r="A40" s="3">
        <v>45696</v>
      </c>
      <c r="B40" s="1" t="s">
        <v>118</v>
      </c>
      <c r="C40" s="1" t="s">
        <v>119</v>
      </c>
    </row>
    <row r="41" spans="1:3">
      <c r="A41" s="3">
        <v>45697</v>
      </c>
      <c r="B41" s="1" t="s">
        <v>120</v>
      </c>
      <c r="C41" s="1" t="s">
        <v>121</v>
      </c>
    </row>
    <row r="42" spans="1:3">
      <c r="A42" s="3">
        <v>45698</v>
      </c>
      <c r="B42" s="1" t="s">
        <v>122</v>
      </c>
      <c r="C42" s="1" t="s">
        <v>123</v>
      </c>
    </row>
    <row r="43" spans="1:3">
      <c r="A43" s="3">
        <v>45699</v>
      </c>
      <c r="B43" s="1" t="s">
        <v>124</v>
      </c>
      <c r="C43" s="1" t="s">
        <v>125</v>
      </c>
    </row>
    <row r="44" spans="1:3">
      <c r="A44" s="3">
        <v>45700</v>
      </c>
      <c r="B44" s="1" t="s">
        <v>126</v>
      </c>
      <c r="C44" s="1" t="s">
        <v>127</v>
      </c>
    </row>
    <row r="45" spans="1:3">
      <c r="A45" s="3">
        <v>45701</v>
      </c>
      <c r="B45" s="1" t="s">
        <v>128</v>
      </c>
      <c r="C45" s="1" t="s">
        <v>129</v>
      </c>
    </row>
    <row r="46" spans="1:3">
      <c r="A46" s="3">
        <v>45702</v>
      </c>
      <c r="B46" s="1" t="s">
        <v>130</v>
      </c>
      <c r="C46" s="1" t="s">
        <v>131</v>
      </c>
    </row>
    <row r="47" spans="1:3">
      <c r="A47" s="3">
        <v>45703</v>
      </c>
      <c r="B47" s="1" t="s">
        <v>132</v>
      </c>
      <c r="C47" s="1" t="s">
        <v>133</v>
      </c>
    </row>
    <row r="48" spans="1:3">
      <c r="A48" s="3">
        <v>45704</v>
      </c>
      <c r="B48" s="1" t="s">
        <v>134</v>
      </c>
      <c r="C48" s="1" t="s">
        <v>135</v>
      </c>
    </row>
    <row r="49" spans="1:3">
      <c r="A49" s="3">
        <v>45705</v>
      </c>
      <c r="B49" s="1" t="s">
        <v>136</v>
      </c>
      <c r="C49" s="1" t="s">
        <v>137</v>
      </c>
    </row>
    <row r="50" spans="1:3">
      <c r="A50" s="3">
        <v>45706</v>
      </c>
      <c r="B50" s="1" t="s">
        <v>138</v>
      </c>
      <c r="C50" s="1" t="s">
        <v>139</v>
      </c>
    </row>
    <row r="51" spans="1:3">
      <c r="A51" s="3">
        <v>45707</v>
      </c>
      <c r="B51" s="1" t="s">
        <v>140</v>
      </c>
      <c r="C51" s="1" t="s">
        <v>141</v>
      </c>
    </row>
    <row r="52" spans="1:3">
      <c r="A52" s="3">
        <v>45708</v>
      </c>
      <c r="B52" s="1" t="s">
        <v>142</v>
      </c>
      <c r="C52" s="1" t="s">
        <v>143</v>
      </c>
    </row>
    <row r="53" spans="1:3">
      <c r="A53" s="3">
        <v>45709</v>
      </c>
      <c r="B53" s="1" t="s">
        <v>144</v>
      </c>
      <c r="C53" s="1" t="s">
        <v>145</v>
      </c>
    </row>
    <row r="54" spans="1:3">
      <c r="A54" s="3">
        <v>45710</v>
      </c>
      <c r="B54" s="1" t="s">
        <v>146</v>
      </c>
      <c r="C54" s="1" t="s">
        <v>147</v>
      </c>
    </row>
    <row r="55" spans="1:3">
      <c r="A55" s="3">
        <v>45711</v>
      </c>
      <c r="B55" s="1" t="s">
        <v>148</v>
      </c>
      <c r="C55" s="1" t="s">
        <v>149</v>
      </c>
    </row>
    <row r="56" spans="1:3">
      <c r="A56" s="3">
        <v>45712</v>
      </c>
      <c r="B56" s="1" t="s">
        <v>150</v>
      </c>
      <c r="C56" s="1" t="s">
        <v>151</v>
      </c>
    </row>
    <row r="57" spans="1:3">
      <c r="A57" s="3">
        <v>45713</v>
      </c>
      <c r="B57" s="1" t="s">
        <v>152</v>
      </c>
      <c r="C57" s="1" t="s">
        <v>153</v>
      </c>
    </row>
    <row r="58" spans="1:3">
      <c r="A58" s="3">
        <v>45714</v>
      </c>
      <c r="B58" s="1" t="s">
        <v>154</v>
      </c>
      <c r="C58" s="1" t="s">
        <v>155</v>
      </c>
    </row>
    <row r="59" spans="1:3">
      <c r="A59" s="3">
        <v>45715</v>
      </c>
      <c r="B59" s="1" t="s">
        <v>156</v>
      </c>
      <c r="C59" s="1" t="s">
        <v>157</v>
      </c>
    </row>
    <row r="60" spans="1:3">
      <c r="A60" s="3">
        <v>45716</v>
      </c>
      <c r="B60" s="1" t="s">
        <v>158</v>
      </c>
      <c r="C60" s="1" t="s">
        <v>159</v>
      </c>
    </row>
    <row r="61" spans="1:3">
      <c r="A61" s="3">
        <v>45717</v>
      </c>
      <c r="B61" s="1" t="s">
        <v>160</v>
      </c>
      <c r="C61" s="1" t="s">
        <v>161</v>
      </c>
    </row>
    <row r="62" spans="1:3">
      <c r="A62" s="3">
        <v>45718</v>
      </c>
      <c r="B62" s="1" t="s">
        <v>162</v>
      </c>
      <c r="C62" s="1" t="s">
        <v>163</v>
      </c>
    </row>
    <row r="63" spans="1:3">
      <c r="A63" s="3">
        <v>45719</v>
      </c>
      <c r="B63" s="1" t="s">
        <v>164</v>
      </c>
      <c r="C63" s="1" t="s">
        <v>165</v>
      </c>
    </row>
    <row r="64" spans="1:3">
      <c r="A64" s="3">
        <v>45720</v>
      </c>
      <c r="B64" s="1" t="s">
        <v>166</v>
      </c>
      <c r="C64" s="1" t="s">
        <v>167</v>
      </c>
    </row>
    <row r="65" spans="1:3">
      <c r="A65" s="3">
        <v>45721</v>
      </c>
      <c r="B65" s="1" t="s">
        <v>168</v>
      </c>
      <c r="C65" s="1" t="s">
        <v>169</v>
      </c>
    </row>
    <row r="66" spans="1:3">
      <c r="A66" s="3">
        <v>45722</v>
      </c>
      <c r="B66" s="1" t="s">
        <v>170</v>
      </c>
      <c r="C66" s="1" t="s">
        <v>171</v>
      </c>
    </row>
    <row r="67" spans="1:3">
      <c r="A67" s="3">
        <v>45723</v>
      </c>
      <c r="B67" s="1" t="s">
        <v>172</v>
      </c>
      <c r="C67" s="1" t="s">
        <v>173</v>
      </c>
    </row>
    <row r="68" spans="1:3">
      <c r="A68" s="3">
        <v>45724</v>
      </c>
      <c r="B68" s="1" t="s">
        <v>174</v>
      </c>
      <c r="C68" s="1" t="s">
        <v>175</v>
      </c>
    </row>
    <row r="69" spans="1:3">
      <c r="A69" s="3">
        <v>45725</v>
      </c>
      <c r="B69" s="1" t="s">
        <v>176</v>
      </c>
      <c r="C69" s="1" t="s">
        <v>177</v>
      </c>
    </row>
    <row r="70" spans="1:3">
      <c r="A70" s="3">
        <v>45726</v>
      </c>
      <c r="B70" s="1" t="s">
        <v>178</v>
      </c>
      <c r="C70" s="1" t="s">
        <v>179</v>
      </c>
    </row>
    <row r="71" spans="1:3">
      <c r="A71" s="3">
        <v>45727</v>
      </c>
      <c r="B71" s="1" t="s">
        <v>180</v>
      </c>
      <c r="C71" s="1" t="s">
        <v>181</v>
      </c>
    </row>
    <row r="72" spans="1:3">
      <c r="A72" s="3">
        <v>45728</v>
      </c>
      <c r="B72" s="1" t="s">
        <v>182</v>
      </c>
      <c r="C72" s="1" t="s">
        <v>183</v>
      </c>
    </row>
    <row r="73" spans="1:3">
      <c r="A73" s="3">
        <v>45729</v>
      </c>
      <c r="B73" s="1" t="s">
        <v>184</v>
      </c>
      <c r="C73" s="1" t="s">
        <v>183</v>
      </c>
    </row>
    <row r="74" spans="1:3">
      <c r="A74" s="3">
        <v>45730</v>
      </c>
      <c r="B74" s="1" t="s">
        <v>185</v>
      </c>
      <c r="C74" s="1" t="s">
        <v>186</v>
      </c>
    </row>
    <row r="75" spans="1:3">
      <c r="A75" s="3">
        <v>45731</v>
      </c>
      <c r="B75" s="1" t="s">
        <v>187</v>
      </c>
      <c r="C75" s="1" t="s">
        <v>188</v>
      </c>
    </row>
    <row r="76" spans="1:3">
      <c r="A76" s="3">
        <v>45732</v>
      </c>
      <c r="B76" s="1" t="s">
        <v>189</v>
      </c>
      <c r="C76" s="1" t="s">
        <v>190</v>
      </c>
    </row>
    <row r="77" spans="1:3">
      <c r="A77" s="3">
        <v>45733</v>
      </c>
      <c r="B77" s="1" t="s">
        <v>191</v>
      </c>
      <c r="C77" s="1" t="s">
        <v>192</v>
      </c>
    </row>
    <row r="78" spans="1:3">
      <c r="A78" s="3">
        <v>45734</v>
      </c>
      <c r="B78" s="1" t="s">
        <v>193</v>
      </c>
      <c r="C78" s="1" t="s">
        <v>194</v>
      </c>
    </row>
    <row r="79" spans="1:3">
      <c r="A79" s="3">
        <v>45735</v>
      </c>
      <c r="B79" s="1" t="s">
        <v>195</v>
      </c>
      <c r="C79" s="1" t="s">
        <v>196</v>
      </c>
    </row>
    <row r="80" spans="1:3">
      <c r="A80" s="3">
        <v>45736</v>
      </c>
      <c r="B80" s="1" t="s">
        <v>197</v>
      </c>
      <c r="C80" s="1" t="s">
        <v>198</v>
      </c>
    </row>
    <row r="81" spans="1:3">
      <c r="A81" s="3">
        <v>45737</v>
      </c>
      <c r="B81" s="1" t="s">
        <v>199</v>
      </c>
      <c r="C81" s="1" t="s">
        <v>200</v>
      </c>
    </row>
    <row r="82" spans="1:3">
      <c r="A82" s="3">
        <v>45738</v>
      </c>
      <c r="B82" s="1" t="s">
        <v>201</v>
      </c>
      <c r="C82" s="1" t="s">
        <v>202</v>
      </c>
    </row>
    <row r="83" spans="1:3">
      <c r="A83" s="3">
        <v>45739</v>
      </c>
      <c r="B83" s="1" t="s">
        <v>203</v>
      </c>
      <c r="C83" s="1" t="s">
        <v>204</v>
      </c>
    </row>
    <row r="84" spans="1:3">
      <c r="A84" s="3">
        <v>45740</v>
      </c>
      <c r="B84" s="1" t="s">
        <v>205</v>
      </c>
      <c r="C84" s="1" t="s">
        <v>204</v>
      </c>
    </row>
    <row r="85" spans="1:3">
      <c r="A85" s="3">
        <v>45741</v>
      </c>
      <c r="B85" s="1" t="s">
        <v>206</v>
      </c>
      <c r="C85" s="1" t="s">
        <v>207</v>
      </c>
    </row>
    <row r="86" spans="1:3">
      <c r="A86" s="3">
        <v>45742</v>
      </c>
      <c r="B86" s="1" t="s">
        <v>208</v>
      </c>
      <c r="C86" s="1" t="s">
        <v>209</v>
      </c>
    </row>
    <row r="87" spans="1:3">
      <c r="A87" s="3">
        <v>45743</v>
      </c>
      <c r="B87" s="1" t="s">
        <v>210</v>
      </c>
      <c r="C87" s="1" t="s">
        <v>211</v>
      </c>
    </row>
    <row r="88" spans="1:3">
      <c r="A88" s="3">
        <v>45744</v>
      </c>
      <c r="B88" s="1" t="s">
        <v>212</v>
      </c>
      <c r="C88" s="1" t="s">
        <v>213</v>
      </c>
    </row>
    <row r="89" spans="1:3">
      <c r="A89" s="3">
        <v>45745</v>
      </c>
      <c r="B89" s="1" t="s">
        <v>214</v>
      </c>
      <c r="C89" s="1" t="s">
        <v>215</v>
      </c>
    </row>
    <row r="90" spans="1:3">
      <c r="A90" s="3">
        <v>45746</v>
      </c>
      <c r="B90" s="1" t="s">
        <v>216</v>
      </c>
      <c r="C90" s="1" t="s">
        <v>217</v>
      </c>
    </row>
    <row r="91" spans="1:3">
      <c r="A91" s="3">
        <v>45747</v>
      </c>
      <c r="B91" s="1" t="s">
        <v>218</v>
      </c>
      <c r="C91" s="1" t="s">
        <v>219</v>
      </c>
    </row>
    <row r="92" spans="1:3">
      <c r="A92" s="3">
        <v>45748</v>
      </c>
      <c r="B92" s="1" t="s">
        <v>220</v>
      </c>
      <c r="C92" s="1" t="s">
        <v>221</v>
      </c>
    </row>
    <row r="93" spans="1:3">
      <c r="A93" s="3">
        <v>45749</v>
      </c>
      <c r="B93" s="1" t="s">
        <v>222</v>
      </c>
      <c r="C93" s="1" t="s">
        <v>223</v>
      </c>
    </row>
    <row r="94" spans="1:3">
      <c r="A94" s="3">
        <v>45750</v>
      </c>
      <c r="B94" s="1" t="s">
        <v>224</v>
      </c>
      <c r="C94" s="1" t="s">
        <v>223</v>
      </c>
    </row>
    <row r="95" spans="1:3">
      <c r="A95" s="3">
        <v>45751</v>
      </c>
      <c r="B95" s="1" t="s">
        <v>225</v>
      </c>
      <c r="C95" s="1" t="s">
        <v>226</v>
      </c>
    </row>
    <row r="96" spans="1:3">
      <c r="A96" s="3">
        <v>45752</v>
      </c>
      <c r="B96" s="1" t="s">
        <v>227</v>
      </c>
      <c r="C96" s="1" t="s">
        <v>228</v>
      </c>
    </row>
    <row r="97" spans="1:3">
      <c r="A97" s="3">
        <v>45753</v>
      </c>
      <c r="B97" s="1" t="s">
        <v>229</v>
      </c>
      <c r="C97" s="1" t="s">
        <v>230</v>
      </c>
    </row>
    <row r="98" spans="1:3">
      <c r="A98" s="3">
        <v>45754</v>
      </c>
      <c r="B98" s="1" t="s">
        <v>231</v>
      </c>
      <c r="C98" s="1" t="s">
        <v>232</v>
      </c>
    </row>
    <row r="99" spans="1:3">
      <c r="A99" s="3">
        <v>45755</v>
      </c>
      <c r="B99" s="1" t="s">
        <v>233</v>
      </c>
      <c r="C99" s="1" t="s">
        <v>234</v>
      </c>
    </row>
    <row r="100" spans="1:3">
      <c r="A100" s="3">
        <v>45756</v>
      </c>
      <c r="B100" s="1" t="s">
        <v>235</v>
      </c>
      <c r="C100" s="1" t="s">
        <v>236</v>
      </c>
    </row>
    <row r="101" spans="1:3">
      <c r="A101" s="3">
        <v>45757</v>
      </c>
      <c r="B101" s="1" t="s">
        <v>237</v>
      </c>
      <c r="C101" s="1" t="s">
        <v>238</v>
      </c>
    </row>
    <row r="102" spans="1:3">
      <c r="A102" s="3">
        <v>45758</v>
      </c>
      <c r="B102" s="1" t="s">
        <v>239</v>
      </c>
      <c r="C102" s="1" t="s">
        <v>240</v>
      </c>
    </row>
    <row r="103" spans="1:3">
      <c r="A103" s="3">
        <v>45759</v>
      </c>
      <c r="B103" s="1" t="s">
        <v>241</v>
      </c>
      <c r="C103" s="1" t="s">
        <v>240</v>
      </c>
    </row>
    <row r="104" spans="1:3">
      <c r="A104" s="3">
        <v>45760</v>
      </c>
      <c r="B104" s="1" t="s">
        <v>242</v>
      </c>
      <c r="C104" s="1" t="s">
        <v>243</v>
      </c>
    </row>
    <row r="105" spans="1:3">
      <c r="A105" s="3">
        <v>45761</v>
      </c>
      <c r="B105" s="1" t="s">
        <v>244</v>
      </c>
      <c r="C105" s="1" t="s">
        <v>245</v>
      </c>
    </row>
    <row r="106" spans="1:3">
      <c r="A106" s="3">
        <v>45762</v>
      </c>
      <c r="B106" s="1" t="s">
        <v>246</v>
      </c>
      <c r="C106" s="1" t="s">
        <v>247</v>
      </c>
    </row>
    <row r="107" spans="1:3">
      <c r="A107" s="3">
        <v>45763</v>
      </c>
      <c r="B107" s="1" t="s">
        <v>248</v>
      </c>
      <c r="C107" s="1" t="s">
        <v>249</v>
      </c>
    </row>
    <row r="108" spans="1:3">
      <c r="A108" s="3">
        <v>45764</v>
      </c>
      <c r="B108" s="1" t="s">
        <v>250</v>
      </c>
      <c r="C108" s="1" t="s">
        <v>251</v>
      </c>
    </row>
    <row r="109" spans="1:3">
      <c r="A109" s="3">
        <v>45765</v>
      </c>
      <c r="B109" s="1" t="s">
        <v>252</v>
      </c>
      <c r="C109" s="1" t="s">
        <v>253</v>
      </c>
    </row>
    <row r="110" spans="1:3">
      <c r="A110" s="3">
        <v>45766</v>
      </c>
      <c r="B110" s="1" t="s">
        <v>254</v>
      </c>
      <c r="C110" s="1" t="s">
        <v>255</v>
      </c>
    </row>
    <row r="111" spans="1:3">
      <c r="A111" s="3">
        <v>45767</v>
      </c>
      <c r="B111" s="1" t="s">
        <v>256</v>
      </c>
      <c r="C111" s="1" t="s">
        <v>257</v>
      </c>
    </row>
    <row r="112" spans="1:3">
      <c r="A112" s="3">
        <v>45768</v>
      </c>
      <c r="B112" s="1" t="s">
        <v>258</v>
      </c>
      <c r="C112" s="1" t="s">
        <v>259</v>
      </c>
    </row>
    <row r="113" spans="1:3">
      <c r="A113" s="3">
        <v>45769</v>
      </c>
      <c r="B113" s="1" t="s">
        <v>260</v>
      </c>
      <c r="C113" s="1" t="s">
        <v>259</v>
      </c>
    </row>
    <row r="114" spans="1:3">
      <c r="A114" s="3">
        <v>45770</v>
      </c>
      <c r="B114" s="1" t="s">
        <v>261</v>
      </c>
      <c r="C114" s="1" t="s">
        <v>262</v>
      </c>
    </row>
    <row r="115" spans="1:3">
      <c r="A115" s="3">
        <v>45771</v>
      </c>
      <c r="B115" s="1" t="s">
        <v>263</v>
      </c>
      <c r="C115" s="1" t="s">
        <v>264</v>
      </c>
    </row>
    <row r="116" spans="1:3">
      <c r="A116" s="3">
        <v>45772</v>
      </c>
      <c r="B116" s="1" t="s">
        <v>265</v>
      </c>
      <c r="C116" s="1" t="s">
        <v>266</v>
      </c>
    </row>
    <row r="117" spans="1:3">
      <c r="A117" s="3">
        <v>45773</v>
      </c>
      <c r="B117" s="1" t="s">
        <v>267</v>
      </c>
      <c r="C117" s="1" t="s">
        <v>268</v>
      </c>
    </row>
    <row r="118" spans="1:3">
      <c r="A118" s="3">
        <v>45774</v>
      </c>
      <c r="B118" s="1" t="s">
        <v>269</v>
      </c>
      <c r="C118" s="1" t="s">
        <v>270</v>
      </c>
    </row>
    <row r="119" spans="1:3">
      <c r="A119" s="3">
        <v>45775</v>
      </c>
      <c r="B119" s="1" t="s">
        <v>271</v>
      </c>
      <c r="C119" s="1" t="s">
        <v>272</v>
      </c>
    </row>
    <row r="120" spans="1:3">
      <c r="A120" s="3">
        <v>45776</v>
      </c>
      <c r="B120" s="1" t="s">
        <v>273</v>
      </c>
      <c r="C120" s="1" t="s">
        <v>274</v>
      </c>
    </row>
    <row r="121" spans="1:3">
      <c r="A121" s="3">
        <v>45777</v>
      </c>
      <c r="B121" s="1" t="s">
        <v>275</v>
      </c>
      <c r="C121" s="1" t="s">
        <v>276</v>
      </c>
    </row>
    <row r="122" spans="1:3">
      <c r="A122" s="3">
        <v>45778</v>
      </c>
      <c r="B122" s="1" t="s">
        <v>277</v>
      </c>
      <c r="C122" s="1" t="s">
        <v>278</v>
      </c>
    </row>
    <row r="123" spans="1:3">
      <c r="A123" s="3">
        <v>45779</v>
      </c>
      <c r="B123" s="1" t="s">
        <v>279</v>
      </c>
      <c r="C123" s="1" t="s">
        <v>278</v>
      </c>
    </row>
    <row r="124" spans="1:3">
      <c r="A124" s="3">
        <v>45780</v>
      </c>
      <c r="B124" s="1" t="s">
        <v>280</v>
      </c>
      <c r="C124" s="1" t="s">
        <v>281</v>
      </c>
    </row>
    <row r="125" spans="1:3">
      <c r="A125" s="3">
        <v>45781</v>
      </c>
      <c r="B125" s="1" t="s">
        <v>282</v>
      </c>
      <c r="C125" s="1" t="s">
        <v>283</v>
      </c>
    </row>
    <row r="126" spans="1:3">
      <c r="A126" s="3">
        <v>45782</v>
      </c>
      <c r="B126" s="1" t="s">
        <v>284</v>
      </c>
      <c r="C126" s="1" t="s">
        <v>285</v>
      </c>
    </row>
    <row r="127" spans="1:3">
      <c r="A127" s="3">
        <v>45783</v>
      </c>
      <c r="B127" s="1" t="s">
        <v>286</v>
      </c>
      <c r="C127" s="1" t="s">
        <v>287</v>
      </c>
    </row>
    <row r="128" spans="1:3">
      <c r="A128" s="3">
        <v>45784</v>
      </c>
      <c r="B128" s="1" t="s">
        <v>288</v>
      </c>
      <c r="C128" s="1" t="s">
        <v>289</v>
      </c>
    </row>
    <row r="129" spans="1:3">
      <c r="A129" s="3">
        <v>45785</v>
      </c>
      <c r="B129" s="1" t="s">
        <v>290</v>
      </c>
      <c r="C129" s="1" t="s">
        <v>291</v>
      </c>
    </row>
    <row r="130" spans="1:3">
      <c r="A130" s="3">
        <v>45786</v>
      </c>
      <c r="B130" s="1" t="s">
        <v>292</v>
      </c>
      <c r="C130" s="1" t="s">
        <v>293</v>
      </c>
    </row>
    <row r="131" spans="1:3">
      <c r="A131" s="3">
        <v>45787</v>
      </c>
      <c r="B131" s="1" t="s">
        <v>294</v>
      </c>
      <c r="C131" s="1" t="s">
        <v>295</v>
      </c>
    </row>
    <row r="132" spans="1:3">
      <c r="A132" s="3">
        <v>45788</v>
      </c>
      <c r="B132" s="1" t="s">
        <v>296</v>
      </c>
      <c r="C132" s="1" t="s">
        <v>295</v>
      </c>
    </row>
    <row r="133" spans="1:3">
      <c r="A133" s="3">
        <v>45789</v>
      </c>
      <c r="B133" s="1" t="s">
        <v>297</v>
      </c>
      <c r="C133" s="1" t="s">
        <v>298</v>
      </c>
    </row>
    <row r="134" spans="1:3">
      <c r="A134" s="3">
        <v>45790</v>
      </c>
      <c r="B134" s="1" t="s">
        <v>299</v>
      </c>
      <c r="C134" s="1" t="s">
        <v>300</v>
      </c>
    </row>
    <row r="135" spans="1:3">
      <c r="A135" s="3">
        <v>45791</v>
      </c>
      <c r="B135" s="1" t="s">
        <v>299</v>
      </c>
      <c r="C135" s="1" t="s">
        <v>301</v>
      </c>
    </row>
    <row r="136" spans="1:3">
      <c r="A136" s="3">
        <v>45792</v>
      </c>
      <c r="B136" s="1" t="s">
        <v>302</v>
      </c>
      <c r="C136" s="1" t="s">
        <v>303</v>
      </c>
    </row>
    <row r="137" spans="1:3">
      <c r="A137" s="3">
        <v>45793</v>
      </c>
      <c r="B137" s="1" t="s">
        <v>304</v>
      </c>
      <c r="C137" s="1" t="s">
        <v>305</v>
      </c>
    </row>
    <row r="138" spans="1:3">
      <c r="A138" s="3">
        <v>45794</v>
      </c>
      <c r="B138" s="1" t="s">
        <v>306</v>
      </c>
      <c r="C138" s="1" t="s">
        <v>307</v>
      </c>
    </row>
    <row r="139" spans="1:3">
      <c r="A139" s="3">
        <v>45795</v>
      </c>
      <c r="B139" s="1" t="s">
        <v>308</v>
      </c>
      <c r="C139" s="1" t="s">
        <v>307</v>
      </c>
    </row>
    <row r="140" spans="1:3">
      <c r="A140" s="3">
        <v>45796</v>
      </c>
      <c r="B140" s="1" t="s">
        <v>308</v>
      </c>
      <c r="C140" s="1" t="s">
        <v>309</v>
      </c>
    </row>
    <row r="141" spans="1:3">
      <c r="A141" s="3">
        <v>45797</v>
      </c>
      <c r="B141" s="1" t="s">
        <v>310</v>
      </c>
      <c r="C141" s="1" t="s">
        <v>311</v>
      </c>
    </row>
    <row r="142" spans="1:3">
      <c r="A142" s="3">
        <v>45798</v>
      </c>
      <c r="B142" s="1" t="s">
        <v>312</v>
      </c>
      <c r="C142" s="1" t="s">
        <v>313</v>
      </c>
    </row>
    <row r="143" spans="1:3">
      <c r="A143" s="3">
        <v>45799</v>
      </c>
      <c r="B143" s="1" t="s">
        <v>312</v>
      </c>
      <c r="C143" s="1" t="s">
        <v>314</v>
      </c>
    </row>
    <row r="144" spans="1:3">
      <c r="A144" s="3">
        <v>45800</v>
      </c>
      <c r="B144" s="1" t="s">
        <v>315</v>
      </c>
      <c r="C144" s="1" t="s">
        <v>314</v>
      </c>
    </row>
    <row r="145" spans="1:3">
      <c r="A145" s="3">
        <v>45801</v>
      </c>
      <c r="B145" s="1" t="s">
        <v>316</v>
      </c>
      <c r="C145" s="1" t="s">
        <v>317</v>
      </c>
    </row>
    <row r="146" spans="1:3">
      <c r="A146" s="3">
        <v>45802</v>
      </c>
      <c r="B146" s="1" t="s">
        <v>316</v>
      </c>
      <c r="C146" s="1" t="s">
        <v>318</v>
      </c>
    </row>
    <row r="147" spans="1:3">
      <c r="A147" s="3">
        <v>45803</v>
      </c>
      <c r="B147" s="1" t="s">
        <v>319</v>
      </c>
      <c r="C147" s="1" t="s">
        <v>320</v>
      </c>
    </row>
    <row r="148" spans="1:3">
      <c r="A148" s="3">
        <v>45804</v>
      </c>
      <c r="B148" s="1" t="s">
        <v>319</v>
      </c>
      <c r="C148" s="1" t="s">
        <v>320</v>
      </c>
    </row>
    <row r="149" spans="1:3">
      <c r="A149" s="3">
        <v>45805</v>
      </c>
      <c r="B149" s="1" t="s">
        <v>321</v>
      </c>
      <c r="C149" s="1" t="s">
        <v>322</v>
      </c>
    </row>
    <row r="150" spans="1:3">
      <c r="A150" s="3">
        <v>45806</v>
      </c>
      <c r="B150" s="1" t="s">
        <v>321</v>
      </c>
      <c r="C150" s="1" t="s">
        <v>323</v>
      </c>
    </row>
    <row r="151" spans="1:3">
      <c r="A151" s="3">
        <v>45807</v>
      </c>
      <c r="B151" s="1" t="s">
        <v>324</v>
      </c>
      <c r="C151" s="1" t="s">
        <v>323</v>
      </c>
    </row>
    <row r="152" spans="1:3">
      <c r="A152" s="3">
        <v>45808</v>
      </c>
      <c r="B152" s="1" t="s">
        <v>324</v>
      </c>
      <c r="C152" s="1" t="s">
        <v>325</v>
      </c>
    </row>
    <row r="153" spans="1:3">
      <c r="A153" s="3">
        <v>45809</v>
      </c>
      <c r="B153" s="1" t="s">
        <v>324</v>
      </c>
      <c r="C153" s="1" t="s">
        <v>326</v>
      </c>
    </row>
    <row r="154" spans="1:3">
      <c r="A154" s="3">
        <v>45810</v>
      </c>
      <c r="B154" s="1" t="s">
        <v>327</v>
      </c>
      <c r="C154" s="1" t="s">
        <v>326</v>
      </c>
    </row>
    <row r="155" spans="1:3">
      <c r="A155" s="3">
        <v>45811</v>
      </c>
      <c r="B155" s="1" t="s">
        <v>327</v>
      </c>
      <c r="C155" s="1" t="s">
        <v>328</v>
      </c>
    </row>
    <row r="156" spans="1:3">
      <c r="A156" s="3">
        <v>45812</v>
      </c>
      <c r="B156" s="1" t="s">
        <v>327</v>
      </c>
      <c r="C156" s="1" t="s">
        <v>329</v>
      </c>
    </row>
    <row r="157" spans="1:3">
      <c r="A157" s="3">
        <v>45813</v>
      </c>
      <c r="B157" s="1" t="s">
        <v>330</v>
      </c>
      <c r="C157" s="1" t="s">
        <v>329</v>
      </c>
    </row>
    <row r="158" spans="1:3">
      <c r="A158" s="3">
        <v>45814</v>
      </c>
      <c r="B158" s="1" t="s">
        <v>330</v>
      </c>
      <c r="C158" s="1" t="s">
        <v>331</v>
      </c>
    </row>
    <row r="159" spans="1:3">
      <c r="A159" s="3">
        <v>45815</v>
      </c>
      <c r="B159" s="1" t="s">
        <v>330</v>
      </c>
      <c r="C159" s="1" t="s">
        <v>331</v>
      </c>
    </row>
    <row r="160" spans="1:3">
      <c r="A160" s="3">
        <v>45816</v>
      </c>
      <c r="B160" s="1" t="s">
        <v>330</v>
      </c>
      <c r="C160" s="1" t="s">
        <v>332</v>
      </c>
    </row>
    <row r="161" spans="1:3">
      <c r="A161" s="3">
        <v>45817</v>
      </c>
      <c r="B161" s="1" t="s">
        <v>330</v>
      </c>
      <c r="C161" s="1" t="s">
        <v>332</v>
      </c>
    </row>
    <row r="162" spans="1:3">
      <c r="A162" s="3">
        <v>45818</v>
      </c>
      <c r="B162" s="1" t="s">
        <v>330</v>
      </c>
      <c r="C162" s="1" t="s">
        <v>333</v>
      </c>
    </row>
    <row r="163" spans="1:3">
      <c r="A163" s="3">
        <v>45819</v>
      </c>
      <c r="B163" s="1" t="s">
        <v>330</v>
      </c>
      <c r="C163" s="1" t="s">
        <v>333</v>
      </c>
    </row>
    <row r="164" spans="1:3">
      <c r="A164" s="3">
        <v>45820</v>
      </c>
      <c r="B164" s="1" t="s">
        <v>330</v>
      </c>
      <c r="C164" s="1" t="s">
        <v>334</v>
      </c>
    </row>
    <row r="165" spans="1:3">
      <c r="A165" s="3">
        <v>45821</v>
      </c>
      <c r="B165" s="1" t="s">
        <v>330</v>
      </c>
      <c r="C165" s="1" t="s">
        <v>334</v>
      </c>
    </row>
    <row r="166" spans="1:3">
      <c r="A166" s="3">
        <v>45822</v>
      </c>
      <c r="B166" s="1" t="s">
        <v>330</v>
      </c>
      <c r="C166" s="1" t="s">
        <v>335</v>
      </c>
    </row>
    <row r="167" spans="1:3">
      <c r="A167" s="3">
        <v>45823</v>
      </c>
      <c r="B167" s="1" t="s">
        <v>330</v>
      </c>
      <c r="C167" s="1" t="s">
        <v>335</v>
      </c>
    </row>
    <row r="168" spans="1:3">
      <c r="A168" s="3">
        <v>45824</v>
      </c>
      <c r="B168" s="1" t="s">
        <v>330</v>
      </c>
      <c r="C168" s="1" t="s">
        <v>335</v>
      </c>
    </row>
    <row r="169" spans="1:3">
      <c r="A169" s="3">
        <v>45825</v>
      </c>
      <c r="B169" s="1" t="s">
        <v>330</v>
      </c>
      <c r="C169" s="1" t="s">
        <v>336</v>
      </c>
    </row>
    <row r="170" spans="1:3">
      <c r="A170" s="3">
        <v>45826</v>
      </c>
      <c r="B170" s="1" t="s">
        <v>330</v>
      </c>
      <c r="C170" s="1" t="s">
        <v>336</v>
      </c>
    </row>
    <row r="171" spans="1:3">
      <c r="A171" s="3">
        <v>45827</v>
      </c>
      <c r="B171" s="1" t="s">
        <v>330</v>
      </c>
      <c r="C171" s="1" t="s">
        <v>336</v>
      </c>
    </row>
    <row r="172" spans="1:3">
      <c r="A172" s="3">
        <v>45828</v>
      </c>
      <c r="B172" s="1" t="s">
        <v>330</v>
      </c>
      <c r="C172" s="1" t="s">
        <v>336</v>
      </c>
    </row>
    <row r="173" spans="1:3">
      <c r="A173" s="3">
        <v>45829</v>
      </c>
      <c r="B173" s="1" t="s">
        <v>330</v>
      </c>
      <c r="C173" s="1" t="s">
        <v>337</v>
      </c>
    </row>
    <row r="174" spans="1:3">
      <c r="A174" s="3">
        <v>45830</v>
      </c>
      <c r="B174" s="1" t="s">
        <v>327</v>
      </c>
      <c r="C174" s="1" t="s">
        <v>337</v>
      </c>
    </row>
    <row r="175" spans="1:3">
      <c r="A175" s="3">
        <v>45831</v>
      </c>
      <c r="B175" s="1" t="s">
        <v>327</v>
      </c>
      <c r="C175" s="1" t="s">
        <v>337</v>
      </c>
    </row>
    <row r="176" spans="1:3">
      <c r="A176" s="3">
        <v>45832</v>
      </c>
      <c r="B176" s="1" t="s">
        <v>327</v>
      </c>
      <c r="C176" s="1" t="s">
        <v>337</v>
      </c>
    </row>
    <row r="177" spans="1:3">
      <c r="A177" s="3">
        <v>45833</v>
      </c>
      <c r="B177" s="1" t="s">
        <v>327</v>
      </c>
      <c r="C177" s="1" t="s">
        <v>337</v>
      </c>
    </row>
    <row r="178" spans="1:3">
      <c r="A178" s="3">
        <v>45834</v>
      </c>
      <c r="B178" s="1" t="s">
        <v>324</v>
      </c>
      <c r="C178" s="1" t="s">
        <v>337</v>
      </c>
    </row>
    <row r="179" spans="1:3">
      <c r="A179" s="3">
        <v>45835</v>
      </c>
      <c r="B179" s="1" t="s">
        <v>324</v>
      </c>
      <c r="C179" s="1" t="s">
        <v>337</v>
      </c>
    </row>
    <row r="180" spans="1:3">
      <c r="A180" s="3">
        <v>45836</v>
      </c>
      <c r="B180" s="1" t="s">
        <v>321</v>
      </c>
      <c r="C180" s="1" t="s">
        <v>337</v>
      </c>
    </row>
    <row r="181" spans="1:3">
      <c r="A181" s="3">
        <v>45837</v>
      </c>
      <c r="B181" s="1" t="s">
        <v>321</v>
      </c>
      <c r="C181" s="1" t="s">
        <v>337</v>
      </c>
    </row>
    <row r="182" spans="1:3">
      <c r="A182" s="3">
        <v>45838</v>
      </c>
      <c r="B182" s="1" t="s">
        <v>321</v>
      </c>
      <c r="C182" s="1" t="s">
        <v>337</v>
      </c>
    </row>
    <row r="183" spans="1:3">
      <c r="A183" s="3">
        <v>45839</v>
      </c>
      <c r="B183" s="1" t="s">
        <v>319</v>
      </c>
      <c r="C183" s="1" t="s">
        <v>337</v>
      </c>
    </row>
    <row r="184" spans="1:3">
      <c r="A184" s="3">
        <v>45840</v>
      </c>
      <c r="B184" s="1" t="s">
        <v>319</v>
      </c>
      <c r="C184" s="1" t="s">
        <v>337</v>
      </c>
    </row>
    <row r="185" spans="1:3">
      <c r="A185" s="3">
        <v>45841</v>
      </c>
      <c r="B185" s="1" t="s">
        <v>316</v>
      </c>
      <c r="C185" s="1" t="s">
        <v>337</v>
      </c>
    </row>
    <row r="186" spans="1:3">
      <c r="A186" s="3">
        <v>45842</v>
      </c>
      <c r="B186" s="1" t="s">
        <v>316</v>
      </c>
      <c r="C186" s="1" t="s">
        <v>337</v>
      </c>
    </row>
    <row r="187" spans="1:3">
      <c r="A187" s="3">
        <v>45843</v>
      </c>
      <c r="B187" s="1" t="s">
        <v>315</v>
      </c>
      <c r="C187" s="1" t="s">
        <v>337</v>
      </c>
    </row>
    <row r="188" spans="1:3">
      <c r="A188" s="3">
        <v>45844</v>
      </c>
      <c r="B188" s="1" t="s">
        <v>315</v>
      </c>
      <c r="C188" s="1" t="s">
        <v>336</v>
      </c>
    </row>
    <row r="189" spans="1:3">
      <c r="A189" s="3">
        <v>45845</v>
      </c>
      <c r="B189" s="1" t="s">
        <v>312</v>
      </c>
      <c r="C189" s="1" t="s">
        <v>336</v>
      </c>
    </row>
    <row r="190" spans="1:3">
      <c r="A190" s="3">
        <v>45846</v>
      </c>
      <c r="B190" s="1" t="s">
        <v>310</v>
      </c>
      <c r="C190" s="1" t="s">
        <v>336</v>
      </c>
    </row>
    <row r="191" spans="1:3">
      <c r="A191" s="3">
        <v>45847</v>
      </c>
      <c r="B191" s="1" t="s">
        <v>310</v>
      </c>
      <c r="C191" s="1" t="s">
        <v>336</v>
      </c>
    </row>
    <row r="192" spans="1:3">
      <c r="A192" s="3">
        <v>45848</v>
      </c>
      <c r="B192" s="1" t="s">
        <v>308</v>
      </c>
      <c r="C192" s="1" t="s">
        <v>335</v>
      </c>
    </row>
    <row r="193" spans="1:3">
      <c r="A193" s="3">
        <v>45849</v>
      </c>
      <c r="B193" s="1" t="s">
        <v>308</v>
      </c>
      <c r="C193" s="1" t="s">
        <v>335</v>
      </c>
    </row>
    <row r="194" spans="1:3">
      <c r="A194" s="3">
        <v>45850</v>
      </c>
      <c r="B194" s="1" t="s">
        <v>306</v>
      </c>
      <c r="C194" s="1" t="s">
        <v>334</v>
      </c>
    </row>
    <row r="195" spans="1:3">
      <c r="A195" s="3">
        <v>45851</v>
      </c>
      <c r="B195" s="1" t="s">
        <v>304</v>
      </c>
      <c r="C195" s="1" t="s">
        <v>334</v>
      </c>
    </row>
    <row r="196" spans="1:3">
      <c r="A196" s="3">
        <v>45852</v>
      </c>
      <c r="B196" s="1" t="s">
        <v>304</v>
      </c>
      <c r="C196" s="1" t="s">
        <v>334</v>
      </c>
    </row>
    <row r="197" spans="1:3">
      <c r="A197" s="3">
        <v>45853</v>
      </c>
      <c r="B197" s="1" t="s">
        <v>302</v>
      </c>
      <c r="C197" s="1" t="s">
        <v>333</v>
      </c>
    </row>
    <row r="198" spans="1:3">
      <c r="A198" s="3">
        <v>45854</v>
      </c>
      <c r="B198" s="1" t="s">
        <v>299</v>
      </c>
      <c r="C198" s="1" t="s">
        <v>333</v>
      </c>
    </row>
    <row r="199" spans="1:3">
      <c r="A199" s="3">
        <v>45855</v>
      </c>
      <c r="B199" s="1" t="s">
        <v>299</v>
      </c>
      <c r="C199" s="1" t="s">
        <v>332</v>
      </c>
    </row>
    <row r="200" spans="1:3">
      <c r="A200" s="3">
        <v>45856</v>
      </c>
      <c r="B200" s="1" t="s">
        <v>297</v>
      </c>
      <c r="C200" s="1" t="s">
        <v>331</v>
      </c>
    </row>
    <row r="201" spans="1:3">
      <c r="A201" s="3">
        <v>45857</v>
      </c>
      <c r="B201" s="1" t="s">
        <v>296</v>
      </c>
      <c r="C201" s="1" t="s">
        <v>331</v>
      </c>
    </row>
    <row r="202" spans="1:3">
      <c r="A202" s="3">
        <v>45858</v>
      </c>
      <c r="B202" s="1" t="s">
        <v>294</v>
      </c>
      <c r="C202" s="1" t="s">
        <v>329</v>
      </c>
    </row>
    <row r="203" spans="1:3">
      <c r="A203" s="3">
        <v>45859</v>
      </c>
      <c r="B203" s="1" t="s">
        <v>294</v>
      </c>
      <c r="C203" s="1" t="s">
        <v>328</v>
      </c>
    </row>
    <row r="204" spans="1:3">
      <c r="A204" s="3">
        <v>45860</v>
      </c>
      <c r="B204" s="1" t="s">
        <v>292</v>
      </c>
      <c r="C204" s="1" t="s">
        <v>328</v>
      </c>
    </row>
    <row r="205" spans="1:3">
      <c r="A205" s="3">
        <v>45861</v>
      </c>
      <c r="B205" s="1" t="s">
        <v>290</v>
      </c>
      <c r="C205" s="1" t="s">
        <v>326</v>
      </c>
    </row>
    <row r="206" spans="1:3">
      <c r="A206" s="3">
        <v>45862</v>
      </c>
      <c r="B206" s="1" t="s">
        <v>288</v>
      </c>
      <c r="C206" s="1" t="s">
        <v>325</v>
      </c>
    </row>
    <row r="207" spans="1:3">
      <c r="A207" s="3">
        <v>45863</v>
      </c>
      <c r="B207" s="1" t="s">
        <v>286</v>
      </c>
      <c r="C207" s="1" t="s">
        <v>325</v>
      </c>
    </row>
    <row r="208" spans="1:3">
      <c r="A208" s="3">
        <v>45864</v>
      </c>
      <c r="B208" s="1" t="s">
        <v>286</v>
      </c>
      <c r="C208" s="1" t="s">
        <v>323</v>
      </c>
    </row>
    <row r="209" spans="1:3">
      <c r="A209" s="3">
        <v>45865</v>
      </c>
      <c r="B209" s="1" t="s">
        <v>284</v>
      </c>
      <c r="C209" s="1" t="s">
        <v>322</v>
      </c>
    </row>
    <row r="210" spans="1:3">
      <c r="A210" s="3">
        <v>45866</v>
      </c>
      <c r="B210" s="1" t="s">
        <v>282</v>
      </c>
      <c r="C210" s="1" t="s">
        <v>320</v>
      </c>
    </row>
    <row r="211" spans="1:3">
      <c r="A211" s="3">
        <v>45867</v>
      </c>
      <c r="B211" s="1" t="s">
        <v>280</v>
      </c>
      <c r="C211" s="1" t="s">
        <v>318</v>
      </c>
    </row>
    <row r="212" spans="1:3">
      <c r="A212" s="3">
        <v>45868</v>
      </c>
      <c r="B212" s="1" t="s">
        <v>279</v>
      </c>
      <c r="C212" s="1" t="s">
        <v>317</v>
      </c>
    </row>
    <row r="213" spans="1:3">
      <c r="A213" s="3">
        <v>45869</v>
      </c>
      <c r="B213" s="1" t="s">
        <v>279</v>
      </c>
      <c r="C213" s="1" t="s">
        <v>314</v>
      </c>
    </row>
    <row r="214" spans="1:3">
      <c r="A214" s="3">
        <v>45870</v>
      </c>
      <c r="B214" s="1" t="s">
        <v>338</v>
      </c>
      <c r="C214" s="1" t="s">
        <v>313</v>
      </c>
    </row>
    <row r="215" spans="1:3">
      <c r="A215" s="3">
        <v>45871</v>
      </c>
      <c r="B215" s="1" t="s">
        <v>277</v>
      </c>
      <c r="C215" s="1" t="s">
        <v>311</v>
      </c>
    </row>
    <row r="216" spans="1:3">
      <c r="A216" s="3">
        <v>45872</v>
      </c>
      <c r="B216" s="1" t="s">
        <v>275</v>
      </c>
      <c r="C216" s="1" t="s">
        <v>309</v>
      </c>
    </row>
    <row r="217" spans="1:3">
      <c r="A217" s="3">
        <v>45873</v>
      </c>
      <c r="B217" s="1" t="s">
        <v>273</v>
      </c>
      <c r="C217" s="1" t="s">
        <v>307</v>
      </c>
    </row>
    <row r="218" spans="1:3">
      <c r="A218" s="3">
        <v>45874</v>
      </c>
      <c r="B218" s="1" t="s">
        <v>271</v>
      </c>
      <c r="C218" s="1" t="s">
        <v>305</v>
      </c>
    </row>
    <row r="219" spans="1:3">
      <c r="A219" s="3">
        <v>45875</v>
      </c>
      <c r="B219" s="1" t="s">
        <v>271</v>
      </c>
      <c r="C219" s="1" t="s">
        <v>303</v>
      </c>
    </row>
    <row r="220" spans="1:3">
      <c r="A220" s="3">
        <v>45876</v>
      </c>
      <c r="B220" s="1" t="s">
        <v>269</v>
      </c>
      <c r="C220" s="1" t="s">
        <v>301</v>
      </c>
    </row>
    <row r="221" spans="1:3">
      <c r="A221" s="3">
        <v>45877</v>
      </c>
      <c r="B221" s="1" t="s">
        <v>267</v>
      </c>
      <c r="C221" s="1" t="s">
        <v>300</v>
      </c>
    </row>
    <row r="222" spans="1:3">
      <c r="A222" s="3">
        <v>45878</v>
      </c>
      <c r="B222" s="1" t="s">
        <v>339</v>
      </c>
      <c r="C222" s="1" t="s">
        <v>298</v>
      </c>
    </row>
    <row r="223" spans="1:3">
      <c r="A223" s="3">
        <v>45879</v>
      </c>
      <c r="B223" s="1" t="s">
        <v>265</v>
      </c>
      <c r="C223" s="1" t="s">
        <v>295</v>
      </c>
    </row>
    <row r="224" spans="1:3">
      <c r="A224" s="3">
        <v>45880</v>
      </c>
      <c r="B224" s="1" t="s">
        <v>263</v>
      </c>
      <c r="C224" s="1" t="s">
        <v>293</v>
      </c>
    </row>
    <row r="225" spans="1:3">
      <c r="A225" s="3">
        <v>45881</v>
      </c>
      <c r="B225" s="1" t="s">
        <v>263</v>
      </c>
      <c r="C225" s="1" t="s">
        <v>289</v>
      </c>
    </row>
    <row r="226" spans="1:3">
      <c r="A226" s="3">
        <v>45882</v>
      </c>
      <c r="B226" s="1" t="s">
        <v>261</v>
      </c>
      <c r="C226" s="1" t="s">
        <v>287</v>
      </c>
    </row>
    <row r="227" spans="1:3">
      <c r="A227" s="3">
        <v>45883</v>
      </c>
      <c r="B227" s="1" t="s">
        <v>260</v>
      </c>
      <c r="C227" s="1" t="s">
        <v>285</v>
      </c>
    </row>
    <row r="228" spans="1:3">
      <c r="A228" s="3">
        <v>45884</v>
      </c>
      <c r="B228" s="1" t="s">
        <v>340</v>
      </c>
      <c r="C228" s="1" t="s">
        <v>283</v>
      </c>
    </row>
    <row r="229" spans="1:3">
      <c r="A229" s="3">
        <v>45885</v>
      </c>
      <c r="B229" s="1" t="s">
        <v>258</v>
      </c>
      <c r="C229" s="1" t="s">
        <v>281</v>
      </c>
    </row>
    <row r="230" spans="1:3">
      <c r="A230" s="3">
        <v>45886</v>
      </c>
      <c r="B230" s="1" t="s">
        <v>256</v>
      </c>
      <c r="C230" s="1" t="s">
        <v>276</v>
      </c>
    </row>
    <row r="231" spans="1:3">
      <c r="A231" s="3">
        <v>45887</v>
      </c>
      <c r="B231" s="1" t="s">
        <v>256</v>
      </c>
      <c r="C231" s="1" t="s">
        <v>274</v>
      </c>
    </row>
    <row r="232" spans="1:3">
      <c r="A232" s="3">
        <v>45888</v>
      </c>
      <c r="B232" s="1" t="s">
        <v>254</v>
      </c>
      <c r="C232" s="1" t="s">
        <v>272</v>
      </c>
    </row>
    <row r="233" spans="1:3">
      <c r="A233" s="3">
        <v>45889</v>
      </c>
      <c r="B233" s="1" t="s">
        <v>341</v>
      </c>
      <c r="C233" s="1" t="s">
        <v>268</v>
      </c>
    </row>
    <row r="234" spans="1:3">
      <c r="A234" s="3">
        <v>45890</v>
      </c>
      <c r="B234" s="1" t="s">
        <v>252</v>
      </c>
      <c r="C234" s="1" t="s">
        <v>266</v>
      </c>
    </row>
    <row r="235" spans="1:3">
      <c r="A235" s="3">
        <v>45891</v>
      </c>
      <c r="B235" s="1" t="s">
        <v>250</v>
      </c>
      <c r="C235" s="1" t="s">
        <v>264</v>
      </c>
    </row>
    <row r="236" spans="1:3">
      <c r="A236" s="3">
        <v>45892</v>
      </c>
      <c r="B236" s="1" t="s">
        <v>248</v>
      </c>
      <c r="C236" s="1" t="s">
        <v>259</v>
      </c>
    </row>
    <row r="237" spans="1:3">
      <c r="A237" s="3">
        <v>45893</v>
      </c>
      <c r="B237" s="1" t="s">
        <v>248</v>
      </c>
      <c r="C237" s="1" t="s">
        <v>257</v>
      </c>
    </row>
    <row r="238" spans="1:3">
      <c r="A238" s="3">
        <v>45894</v>
      </c>
      <c r="B238" s="1" t="s">
        <v>342</v>
      </c>
      <c r="C238" s="1" t="s">
        <v>255</v>
      </c>
    </row>
    <row r="239" spans="1:3">
      <c r="A239" s="3">
        <v>45895</v>
      </c>
      <c r="B239" s="1" t="s">
        <v>246</v>
      </c>
      <c r="C239" s="1" t="s">
        <v>251</v>
      </c>
    </row>
    <row r="240" spans="1:3">
      <c r="A240" s="3">
        <v>45896</v>
      </c>
      <c r="B240" s="1" t="s">
        <v>244</v>
      </c>
      <c r="C240" s="1" t="s">
        <v>249</v>
      </c>
    </row>
    <row r="241" spans="1:3">
      <c r="A241" s="3">
        <v>45897</v>
      </c>
      <c r="B241" s="1" t="s">
        <v>343</v>
      </c>
      <c r="C241" s="1" t="s">
        <v>245</v>
      </c>
    </row>
    <row r="242" spans="1:3">
      <c r="A242" s="3">
        <v>45898</v>
      </c>
      <c r="B242" s="1" t="s">
        <v>242</v>
      </c>
      <c r="C242" s="1" t="s">
        <v>243</v>
      </c>
    </row>
    <row r="243" spans="1:3">
      <c r="A243" s="3">
        <v>45899</v>
      </c>
      <c r="B243" s="1" t="s">
        <v>242</v>
      </c>
      <c r="C243" s="1" t="s">
        <v>238</v>
      </c>
    </row>
    <row r="244" spans="1:3">
      <c r="A244" s="3">
        <v>45900</v>
      </c>
      <c r="B244" s="1" t="s">
        <v>241</v>
      </c>
      <c r="C244" s="1" t="s">
        <v>236</v>
      </c>
    </row>
    <row r="245" spans="1:3">
      <c r="A245" s="3">
        <v>45901</v>
      </c>
      <c r="B245" s="1" t="s">
        <v>239</v>
      </c>
      <c r="C245" s="1" t="s">
        <v>234</v>
      </c>
    </row>
    <row r="246" spans="1:3">
      <c r="A246" s="3">
        <v>45902</v>
      </c>
      <c r="B246" s="1" t="s">
        <v>344</v>
      </c>
      <c r="C246" s="1" t="s">
        <v>230</v>
      </c>
    </row>
    <row r="247" spans="1:3">
      <c r="A247" s="3">
        <v>45903</v>
      </c>
      <c r="B247" s="1" t="s">
        <v>237</v>
      </c>
      <c r="C247" s="1" t="s">
        <v>228</v>
      </c>
    </row>
    <row r="248" spans="1:3">
      <c r="A248" s="3">
        <v>45904</v>
      </c>
      <c r="B248" s="1" t="s">
        <v>235</v>
      </c>
      <c r="C248" s="1" t="s">
        <v>223</v>
      </c>
    </row>
    <row r="249" spans="1:3">
      <c r="A249" s="3">
        <v>45905</v>
      </c>
      <c r="B249" s="1" t="s">
        <v>235</v>
      </c>
      <c r="C249" s="1" t="s">
        <v>221</v>
      </c>
    </row>
    <row r="250" spans="1:3">
      <c r="A250" s="3">
        <v>45906</v>
      </c>
      <c r="B250" s="1" t="s">
        <v>345</v>
      </c>
      <c r="C250" s="1" t="s">
        <v>217</v>
      </c>
    </row>
    <row r="251" spans="1:3">
      <c r="A251" s="3">
        <v>45907</v>
      </c>
      <c r="B251" s="1" t="s">
        <v>233</v>
      </c>
      <c r="C251" s="1" t="s">
        <v>215</v>
      </c>
    </row>
    <row r="252" spans="1:3">
      <c r="A252" s="3">
        <v>45908</v>
      </c>
      <c r="B252" s="1" t="s">
        <v>231</v>
      </c>
      <c r="C252" s="1" t="s">
        <v>211</v>
      </c>
    </row>
    <row r="253" spans="1:3">
      <c r="A253" s="3">
        <v>45909</v>
      </c>
      <c r="B253" s="1" t="s">
        <v>346</v>
      </c>
      <c r="C253" s="1" t="s">
        <v>209</v>
      </c>
    </row>
    <row r="254" spans="1:3">
      <c r="A254" s="3">
        <v>45910</v>
      </c>
      <c r="B254" s="1" t="s">
        <v>346</v>
      </c>
      <c r="C254" s="1" t="s">
        <v>204</v>
      </c>
    </row>
    <row r="255" spans="1:3">
      <c r="A255" s="3">
        <v>45911</v>
      </c>
      <c r="B255" s="1" t="s">
        <v>229</v>
      </c>
      <c r="C255" s="1" t="s">
        <v>202</v>
      </c>
    </row>
    <row r="256" spans="1:3">
      <c r="A256" s="3">
        <v>45912</v>
      </c>
      <c r="B256" s="1" t="s">
        <v>227</v>
      </c>
      <c r="C256" s="1" t="s">
        <v>198</v>
      </c>
    </row>
    <row r="257" spans="1:3">
      <c r="A257" s="3">
        <v>45913</v>
      </c>
      <c r="B257" s="1" t="s">
        <v>225</v>
      </c>
      <c r="C257" s="1" t="s">
        <v>196</v>
      </c>
    </row>
    <row r="258" spans="1:3">
      <c r="A258" s="3">
        <v>45914</v>
      </c>
      <c r="B258" s="1" t="s">
        <v>347</v>
      </c>
      <c r="C258" s="1" t="s">
        <v>192</v>
      </c>
    </row>
    <row r="259" spans="1:3">
      <c r="A259" s="3">
        <v>45915</v>
      </c>
      <c r="B259" s="1" t="s">
        <v>224</v>
      </c>
      <c r="C259" s="1" t="s">
        <v>190</v>
      </c>
    </row>
    <row r="260" spans="1:3">
      <c r="A260" s="3">
        <v>45916</v>
      </c>
      <c r="B260" s="1" t="s">
        <v>224</v>
      </c>
      <c r="C260" s="1" t="s">
        <v>186</v>
      </c>
    </row>
    <row r="261" spans="1:3">
      <c r="A261" s="3">
        <v>45917</v>
      </c>
      <c r="B261" s="1" t="s">
        <v>222</v>
      </c>
      <c r="C261" s="1" t="s">
        <v>181</v>
      </c>
    </row>
    <row r="262" spans="1:3">
      <c r="A262" s="3">
        <v>45918</v>
      </c>
      <c r="B262" s="1" t="s">
        <v>348</v>
      </c>
      <c r="C262" s="1" t="s">
        <v>179</v>
      </c>
    </row>
    <row r="263" spans="1:3">
      <c r="A263" s="3">
        <v>45919</v>
      </c>
      <c r="B263" s="1" t="s">
        <v>220</v>
      </c>
      <c r="C263" s="1" t="s">
        <v>175</v>
      </c>
    </row>
    <row r="264" spans="1:3">
      <c r="A264" s="3">
        <v>45920</v>
      </c>
      <c r="B264" s="1" t="s">
        <v>218</v>
      </c>
      <c r="C264" s="1" t="s">
        <v>173</v>
      </c>
    </row>
    <row r="265" spans="1:3">
      <c r="A265" s="3">
        <v>45921</v>
      </c>
      <c r="B265" s="1" t="s">
        <v>218</v>
      </c>
      <c r="C265" s="1" t="s">
        <v>169</v>
      </c>
    </row>
    <row r="266" spans="1:3">
      <c r="A266" s="3">
        <v>45922</v>
      </c>
      <c r="B266" s="1" t="s">
        <v>349</v>
      </c>
      <c r="C266" s="1" t="s">
        <v>167</v>
      </c>
    </row>
    <row r="267" spans="1:3">
      <c r="A267" s="3">
        <v>45923</v>
      </c>
      <c r="B267" s="1" t="s">
        <v>216</v>
      </c>
      <c r="C267" s="1" t="s">
        <v>163</v>
      </c>
    </row>
    <row r="268" spans="1:3">
      <c r="A268" s="3">
        <v>45924</v>
      </c>
      <c r="B268" s="1" t="s">
        <v>214</v>
      </c>
      <c r="C268" s="1" t="s">
        <v>161</v>
      </c>
    </row>
    <row r="269" spans="1:3">
      <c r="A269" s="3">
        <v>45925</v>
      </c>
      <c r="B269" s="1" t="s">
        <v>350</v>
      </c>
      <c r="C269" s="1" t="s">
        <v>157</v>
      </c>
    </row>
    <row r="270" spans="1:3">
      <c r="A270" s="3">
        <v>45926</v>
      </c>
      <c r="B270" s="1" t="s">
        <v>212</v>
      </c>
      <c r="C270" s="1" t="s">
        <v>155</v>
      </c>
    </row>
    <row r="271" spans="1:3">
      <c r="A271" s="3">
        <v>45927</v>
      </c>
      <c r="B271" s="1" t="s">
        <v>210</v>
      </c>
      <c r="C271" s="1" t="s">
        <v>151</v>
      </c>
    </row>
    <row r="272" spans="1:3">
      <c r="A272" s="3">
        <v>45928</v>
      </c>
      <c r="B272" s="1" t="s">
        <v>210</v>
      </c>
      <c r="C272" s="1" t="s">
        <v>149</v>
      </c>
    </row>
    <row r="273" spans="1:3">
      <c r="A273" s="3">
        <v>45929</v>
      </c>
      <c r="B273" s="1" t="s">
        <v>351</v>
      </c>
      <c r="C273" s="1" t="s">
        <v>145</v>
      </c>
    </row>
    <row r="274" spans="1:3">
      <c r="A274" s="3">
        <v>45930</v>
      </c>
      <c r="B274" s="1" t="s">
        <v>208</v>
      </c>
      <c r="C274" s="1" t="s">
        <v>143</v>
      </c>
    </row>
    <row r="275" spans="1:3">
      <c r="A275" s="3">
        <v>45931</v>
      </c>
      <c r="B275" s="1" t="s">
        <v>206</v>
      </c>
      <c r="C275" s="1" t="s">
        <v>139</v>
      </c>
    </row>
    <row r="276" spans="1:3">
      <c r="A276" s="3">
        <v>45932</v>
      </c>
      <c r="B276" s="1" t="s">
        <v>352</v>
      </c>
      <c r="C276" s="1" t="s">
        <v>137</v>
      </c>
    </row>
    <row r="277" spans="1:3">
      <c r="A277" s="3">
        <v>45933</v>
      </c>
      <c r="B277" s="1" t="s">
        <v>205</v>
      </c>
      <c r="C277" s="1" t="s">
        <v>133</v>
      </c>
    </row>
    <row r="278" spans="1:3">
      <c r="A278" s="3">
        <v>45934</v>
      </c>
      <c r="B278" s="1" t="s">
        <v>203</v>
      </c>
      <c r="C278" s="1" t="s">
        <v>131</v>
      </c>
    </row>
    <row r="279" spans="1:3">
      <c r="A279" s="3">
        <v>45935</v>
      </c>
      <c r="B279" s="1" t="s">
        <v>203</v>
      </c>
      <c r="C279" s="1" t="s">
        <v>127</v>
      </c>
    </row>
    <row r="280" spans="1:3">
      <c r="A280" s="3">
        <v>45936</v>
      </c>
      <c r="B280" s="1" t="s">
        <v>353</v>
      </c>
      <c r="C280" s="1" t="s">
        <v>125</v>
      </c>
    </row>
    <row r="281" spans="1:3">
      <c r="A281" s="3">
        <v>45937</v>
      </c>
      <c r="B281" s="1" t="s">
        <v>201</v>
      </c>
      <c r="C281" s="1" t="s">
        <v>354</v>
      </c>
    </row>
    <row r="282" spans="1:3">
      <c r="A282" s="3">
        <v>45938</v>
      </c>
      <c r="B282" s="1" t="s">
        <v>199</v>
      </c>
      <c r="C282" s="1" t="s">
        <v>121</v>
      </c>
    </row>
    <row r="283" spans="1:3">
      <c r="A283" s="3">
        <v>45939</v>
      </c>
      <c r="B283" s="1" t="s">
        <v>355</v>
      </c>
      <c r="C283" s="1" t="s">
        <v>117</v>
      </c>
    </row>
    <row r="284" spans="1:3">
      <c r="A284" s="3">
        <v>45940</v>
      </c>
      <c r="B284" s="1" t="s">
        <v>197</v>
      </c>
      <c r="C284" s="1" t="s">
        <v>115</v>
      </c>
    </row>
    <row r="285" spans="1:3">
      <c r="A285" s="3">
        <v>45941</v>
      </c>
      <c r="B285" s="1" t="s">
        <v>195</v>
      </c>
      <c r="C285" s="1" t="s">
        <v>111</v>
      </c>
    </row>
    <row r="286" spans="1:3">
      <c r="A286" s="3">
        <v>45942</v>
      </c>
      <c r="B286" s="1" t="s">
        <v>356</v>
      </c>
      <c r="C286" s="1" t="s">
        <v>109</v>
      </c>
    </row>
    <row r="287" spans="1:3">
      <c r="A287" s="3">
        <v>45943</v>
      </c>
      <c r="B287" s="1" t="s">
        <v>193</v>
      </c>
      <c r="C287" s="1" t="s">
        <v>108</v>
      </c>
    </row>
    <row r="288" spans="1:3">
      <c r="A288" s="3">
        <v>45944</v>
      </c>
      <c r="B288" s="1" t="s">
        <v>193</v>
      </c>
      <c r="C288" s="1" t="s">
        <v>104</v>
      </c>
    </row>
    <row r="289" spans="1:3">
      <c r="A289" s="3">
        <v>45945</v>
      </c>
      <c r="B289" s="1" t="s">
        <v>191</v>
      </c>
      <c r="C289" s="1" t="s">
        <v>357</v>
      </c>
    </row>
    <row r="290" spans="1:3">
      <c r="A290" s="3">
        <v>45946</v>
      </c>
      <c r="B290" s="1" t="s">
        <v>358</v>
      </c>
      <c r="C290" s="1" t="s">
        <v>102</v>
      </c>
    </row>
    <row r="291" spans="1:3">
      <c r="A291" s="3">
        <v>45947</v>
      </c>
      <c r="B291" s="1" t="s">
        <v>189</v>
      </c>
      <c r="C291" s="1" t="s">
        <v>99</v>
      </c>
    </row>
    <row r="292" spans="1:3">
      <c r="A292" s="3">
        <v>45948</v>
      </c>
      <c r="B292" s="1" t="s">
        <v>187</v>
      </c>
      <c r="C292" s="1" t="s">
        <v>97</v>
      </c>
    </row>
    <row r="293" spans="1:3">
      <c r="A293" s="3">
        <v>45949</v>
      </c>
      <c r="B293" s="1" t="s">
        <v>359</v>
      </c>
      <c r="C293" s="1" t="s">
        <v>95</v>
      </c>
    </row>
    <row r="294" spans="1:3">
      <c r="A294" s="3">
        <v>45950</v>
      </c>
      <c r="B294" s="1" t="s">
        <v>185</v>
      </c>
      <c r="C294" s="1" t="s">
        <v>92</v>
      </c>
    </row>
    <row r="295" spans="1:3">
      <c r="A295" s="3">
        <v>45951</v>
      </c>
      <c r="B295" s="1" t="s">
        <v>184</v>
      </c>
      <c r="C295" s="1" t="s">
        <v>90</v>
      </c>
    </row>
    <row r="296" spans="1:3">
      <c r="A296" s="3">
        <v>45952</v>
      </c>
      <c r="B296" s="1" t="s">
        <v>360</v>
      </c>
      <c r="C296" s="1" t="s">
        <v>89</v>
      </c>
    </row>
    <row r="297" spans="1:3">
      <c r="A297" s="3">
        <v>45953</v>
      </c>
      <c r="B297" s="1" t="s">
        <v>182</v>
      </c>
      <c r="C297" s="1" t="s">
        <v>86</v>
      </c>
    </row>
    <row r="298" spans="1:3">
      <c r="A298" s="3">
        <v>45954</v>
      </c>
      <c r="B298" s="1" t="s">
        <v>180</v>
      </c>
      <c r="C298" s="1" t="s">
        <v>84</v>
      </c>
    </row>
    <row r="299" spans="1:3">
      <c r="A299" s="3">
        <v>45955</v>
      </c>
      <c r="B299" s="1" t="s">
        <v>361</v>
      </c>
      <c r="C299" s="1" t="s">
        <v>362</v>
      </c>
    </row>
    <row r="300" spans="1:3">
      <c r="A300" s="3">
        <v>45956</v>
      </c>
      <c r="B300" s="1" t="s">
        <v>178</v>
      </c>
      <c r="C300" s="1" t="s">
        <v>83</v>
      </c>
    </row>
    <row r="301" spans="1:3">
      <c r="A301" s="3">
        <v>45957</v>
      </c>
      <c r="B301" s="1" t="s">
        <v>176</v>
      </c>
      <c r="C301" s="1" t="s">
        <v>81</v>
      </c>
    </row>
    <row r="302" spans="1:3">
      <c r="A302" s="3">
        <v>45958</v>
      </c>
      <c r="B302" s="1" t="s">
        <v>363</v>
      </c>
      <c r="C302" s="1" t="s">
        <v>79</v>
      </c>
    </row>
    <row r="303" spans="1:3">
      <c r="A303" s="3">
        <v>45959</v>
      </c>
      <c r="B303" s="1" t="s">
        <v>174</v>
      </c>
      <c r="C303" s="1" t="s">
        <v>77</v>
      </c>
    </row>
    <row r="304" spans="1:3">
      <c r="A304" s="3">
        <v>45960</v>
      </c>
      <c r="B304" s="1" t="s">
        <v>172</v>
      </c>
      <c r="C304" s="1" t="s">
        <v>76</v>
      </c>
    </row>
    <row r="305" spans="1:3">
      <c r="A305" s="3">
        <v>45961</v>
      </c>
      <c r="B305" s="1" t="s">
        <v>170</v>
      </c>
      <c r="C305" s="1" t="s">
        <v>75</v>
      </c>
    </row>
    <row r="306" spans="1:3">
      <c r="A306" s="3">
        <v>45962</v>
      </c>
      <c r="B306" s="1" t="s">
        <v>364</v>
      </c>
      <c r="C306" s="1" t="s">
        <v>74</v>
      </c>
    </row>
    <row r="307" spans="1:3">
      <c r="A307" s="3">
        <v>45963</v>
      </c>
      <c r="B307" s="1" t="s">
        <v>168</v>
      </c>
      <c r="C307" s="1" t="s">
        <v>73</v>
      </c>
    </row>
    <row r="308" spans="1:3">
      <c r="A308" s="3">
        <v>45964</v>
      </c>
      <c r="B308" s="1" t="s">
        <v>166</v>
      </c>
      <c r="C308" s="1" t="s">
        <v>72</v>
      </c>
    </row>
    <row r="309" spans="1:3">
      <c r="A309" s="3">
        <v>45965</v>
      </c>
      <c r="B309" s="1" t="s">
        <v>365</v>
      </c>
      <c r="C309" s="1" t="s">
        <v>71</v>
      </c>
    </row>
    <row r="310" spans="1:3">
      <c r="A310" s="3">
        <v>45966</v>
      </c>
      <c r="B310" s="1" t="s">
        <v>164</v>
      </c>
      <c r="C310" s="1" t="s">
        <v>70</v>
      </c>
    </row>
    <row r="311" spans="1:3">
      <c r="A311" s="3">
        <v>45967</v>
      </c>
      <c r="B311" s="1" t="s">
        <v>162</v>
      </c>
      <c r="C311" s="1" t="s">
        <v>69</v>
      </c>
    </row>
    <row r="312" spans="1:3">
      <c r="A312" s="3">
        <v>45968</v>
      </c>
      <c r="B312" s="1" t="s">
        <v>160</v>
      </c>
      <c r="C312" s="1" t="s">
        <v>68</v>
      </c>
    </row>
    <row r="313" spans="1:3">
      <c r="A313" s="3">
        <v>45969</v>
      </c>
      <c r="B313" s="1" t="s">
        <v>366</v>
      </c>
      <c r="C313" s="1" t="s">
        <v>67</v>
      </c>
    </row>
    <row r="314" spans="1:3">
      <c r="A314" s="3">
        <v>45970</v>
      </c>
      <c r="B314" s="1" t="s">
        <v>158</v>
      </c>
      <c r="C314" s="1" t="s">
        <v>66</v>
      </c>
    </row>
    <row r="315" spans="1:3">
      <c r="A315" s="3">
        <v>45971</v>
      </c>
      <c r="B315" s="1" t="s">
        <v>156</v>
      </c>
      <c r="C315" s="1" t="s">
        <v>64</v>
      </c>
    </row>
    <row r="316" spans="1:3">
      <c r="A316" s="3">
        <v>45972</v>
      </c>
      <c r="B316" s="1" t="s">
        <v>154</v>
      </c>
      <c r="C316" s="1" t="s">
        <v>64</v>
      </c>
    </row>
    <row r="317" spans="1:3">
      <c r="A317" s="3">
        <v>45973</v>
      </c>
      <c r="B317" s="1" t="s">
        <v>367</v>
      </c>
      <c r="C317" s="1" t="s">
        <v>368</v>
      </c>
    </row>
    <row r="318" spans="1:3">
      <c r="A318" s="3">
        <v>45974</v>
      </c>
      <c r="B318" s="1" t="s">
        <v>152</v>
      </c>
      <c r="C318" s="1" t="s">
        <v>369</v>
      </c>
    </row>
    <row r="319" spans="1:3">
      <c r="A319" s="3">
        <v>45975</v>
      </c>
      <c r="B319" s="1" t="s">
        <v>148</v>
      </c>
      <c r="C319" s="1" t="s">
        <v>370</v>
      </c>
    </row>
    <row r="320" spans="1:3">
      <c r="A320" s="3">
        <v>45976</v>
      </c>
      <c r="B320" s="1" t="s">
        <v>371</v>
      </c>
      <c r="C320" s="1" t="s">
        <v>370</v>
      </c>
    </row>
    <row r="321" spans="1:3">
      <c r="A321" s="3">
        <v>45977</v>
      </c>
      <c r="B321" s="1" t="s">
        <v>146</v>
      </c>
      <c r="C321" s="1" t="s">
        <v>372</v>
      </c>
    </row>
    <row r="322" spans="1:3">
      <c r="A322" s="3">
        <v>45978</v>
      </c>
      <c r="B322" s="1" t="s">
        <v>144</v>
      </c>
      <c r="C322" s="1" t="s">
        <v>373</v>
      </c>
    </row>
    <row r="323" spans="1:3">
      <c r="A323" s="3">
        <v>45979</v>
      </c>
      <c r="B323" s="1" t="s">
        <v>142</v>
      </c>
      <c r="C323" s="1" t="s">
        <v>373</v>
      </c>
    </row>
    <row r="324" spans="1:3">
      <c r="A324" s="3">
        <v>45980</v>
      </c>
      <c r="B324" s="1" t="s">
        <v>140</v>
      </c>
      <c r="C324" s="1" t="s">
        <v>374</v>
      </c>
    </row>
    <row r="325" spans="1:3">
      <c r="A325" s="3">
        <v>45981</v>
      </c>
      <c r="B325" s="1" t="s">
        <v>375</v>
      </c>
      <c r="C325" s="1" t="s">
        <v>374</v>
      </c>
    </row>
    <row r="326" spans="1:3">
      <c r="A326" s="3">
        <v>45982</v>
      </c>
      <c r="B326" s="1" t="s">
        <v>138</v>
      </c>
      <c r="C326" s="1" t="s">
        <v>376</v>
      </c>
    </row>
    <row r="327" spans="1:3">
      <c r="A327" s="3">
        <v>45983</v>
      </c>
      <c r="B327" s="1" t="s">
        <v>136</v>
      </c>
      <c r="C327" s="1" t="s">
        <v>376</v>
      </c>
    </row>
    <row r="328" spans="1:3">
      <c r="A328" s="3">
        <v>45984</v>
      </c>
      <c r="B328" s="1" t="s">
        <v>134</v>
      </c>
      <c r="C328" s="1" t="s">
        <v>377</v>
      </c>
    </row>
    <row r="329" spans="1:3">
      <c r="A329" s="3">
        <v>45985</v>
      </c>
      <c r="B329" s="1" t="s">
        <v>132</v>
      </c>
      <c r="C329" s="1" t="s">
        <v>377</v>
      </c>
    </row>
    <row r="330" spans="1:3">
      <c r="A330" s="3">
        <v>45986</v>
      </c>
      <c r="B330" s="1" t="s">
        <v>130</v>
      </c>
      <c r="C330" s="1" t="s">
        <v>378</v>
      </c>
    </row>
    <row r="331" spans="1:3">
      <c r="A331" s="3">
        <v>45987</v>
      </c>
      <c r="B331" s="1" t="s">
        <v>379</v>
      </c>
      <c r="C331" s="1" t="s">
        <v>378</v>
      </c>
    </row>
    <row r="332" spans="1:3">
      <c r="A332" s="3">
        <v>45988</v>
      </c>
      <c r="B332" s="1" t="s">
        <v>128</v>
      </c>
      <c r="C332" s="1" t="s">
        <v>378</v>
      </c>
    </row>
    <row r="333" spans="1:3">
      <c r="A333" s="3">
        <v>45989</v>
      </c>
      <c r="B333" s="1" t="s">
        <v>126</v>
      </c>
      <c r="C333" s="1" t="s">
        <v>380</v>
      </c>
    </row>
    <row r="334" spans="1:3">
      <c r="A334" s="3">
        <v>45990</v>
      </c>
      <c r="B334" s="1" t="s">
        <v>124</v>
      </c>
      <c r="C334" s="1" t="s">
        <v>380</v>
      </c>
    </row>
    <row r="335" spans="1:3">
      <c r="A335" s="3">
        <v>45991</v>
      </c>
      <c r="B335" s="1" t="s">
        <v>122</v>
      </c>
      <c r="C335" s="1" t="s">
        <v>380</v>
      </c>
    </row>
    <row r="336" spans="1:3">
      <c r="A336" s="3">
        <v>45992</v>
      </c>
      <c r="B336" s="1" t="s">
        <v>120</v>
      </c>
      <c r="C336" s="1" t="s">
        <v>380</v>
      </c>
    </row>
    <row r="337" spans="1:3">
      <c r="A337" s="3">
        <v>45993</v>
      </c>
      <c r="B337" s="1" t="s">
        <v>118</v>
      </c>
      <c r="C337" s="1" t="s">
        <v>381</v>
      </c>
    </row>
    <row r="338" spans="1:3">
      <c r="A338" s="3">
        <v>45994</v>
      </c>
      <c r="B338" s="1" t="s">
        <v>116</v>
      </c>
      <c r="C338" s="1" t="s">
        <v>381</v>
      </c>
    </row>
    <row r="339" spans="1:3">
      <c r="A339" s="3">
        <v>45995</v>
      </c>
      <c r="B339" s="1" t="s">
        <v>116</v>
      </c>
      <c r="C339" s="1" t="s">
        <v>381</v>
      </c>
    </row>
    <row r="340" spans="1:3">
      <c r="A340" s="3">
        <v>45996</v>
      </c>
      <c r="B340" s="1" t="s">
        <v>114</v>
      </c>
      <c r="C340" s="1" t="s">
        <v>381</v>
      </c>
    </row>
    <row r="341" spans="1:3">
      <c r="A341" s="3">
        <v>45997</v>
      </c>
      <c r="B341" s="1" t="s">
        <v>112</v>
      </c>
      <c r="C341" s="1" t="s">
        <v>381</v>
      </c>
    </row>
    <row r="342" spans="1:3">
      <c r="A342" s="3">
        <v>45998</v>
      </c>
      <c r="B342" s="1" t="s">
        <v>110</v>
      </c>
      <c r="C342" s="1" t="s">
        <v>381</v>
      </c>
    </row>
    <row r="343" spans="1:3">
      <c r="A343" s="3">
        <v>45999</v>
      </c>
      <c r="B343" s="1" t="s">
        <v>107</v>
      </c>
      <c r="C343" s="1" t="s">
        <v>381</v>
      </c>
    </row>
    <row r="344" spans="1:3">
      <c r="A344" s="3">
        <v>46000</v>
      </c>
      <c r="B344" s="1" t="s">
        <v>105</v>
      </c>
      <c r="C344" s="1" t="s">
        <v>381</v>
      </c>
    </row>
    <row r="345" spans="1:3">
      <c r="A345" s="3">
        <v>46001</v>
      </c>
      <c r="B345" s="1" t="s">
        <v>103</v>
      </c>
      <c r="C345" s="1" t="s">
        <v>380</v>
      </c>
    </row>
    <row r="346" spans="1:3">
      <c r="A346" s="3">
        <v>46002</v>
      </c>
      <c r="B346" s="1" t="s">
        <v>103</v>
      </c>
      <c r="C346" s="1" t="s">
        <v>380</v>
      </c>
    </row>
    <row r="347" spans="1:3">
      <c r="A347" s="3">
        <v>46003</v>
      </c>
      <c r="B347" s="1" t="s">
        <v>101</v>
      </c>
      <c r="C347" s="1" t="s">
        <v>380</v>
      </c>
    </row>
    <row r="348" spans="1:3">
      <c r="A348" s="3">
        <v>46004</v>
      </c>
      <c r="B348" s="1" t="s">
        <v>98</v>
      </c>
      <c r="C348" s="1" t="s">
        <v>380</v>
      </c>
    </row>
    <row r="349" spans="1:3">
      <c r="A349" s="3">
        <v>46005</v>
      </c>
      <c r="B349" s="1" t="s">
        <v>98</v>
      </c>
      <c r="C349" s="1" t="s">
        <v>380</v>
      </c>
    </row>
    <row r="350" spans="1:3">
      <c r="A350" s="3">
        <v>46006</v>
      </c>
      <c r="B350" s="1" t="s">
        <v>96</v>
      </c>
      <c r="C350" s="1" t="s">
        <v>378</v>
      </c>
    </row>
    <row r="351" spans="1:3">
      <c r="A351" s="3">
        <v>46007</v>
      </c>
      <c r="B351" s="1" t="s">
        <v>93</v>
      </c>
      <c r="C351" s="1" t="s">
        <v>378</v>
      </c>
    </row>
    <row r="352" spans="1:3">
      <c r="A352" s="3">
        <v>46008</v>
      </c>
      <c r="B352" s="1" t="s">
        <v>93</v>
      </c>
      <c r="C352" s="1" t="s">
        <v>378</v>
      </c>
    </row>
    <row r="353" spans="1:3">
      <c r="A353" s="3">
        <v>46009</v>
      </c>
      <c r="B353" s="1" t="s">
        <v>91</v>
      </c>
      <c r="C353" s="1" t="s">
        <v>377</v>
      </c>
    </row>
    <row r="354" spans="1:3">
      <c r="A354" s="3">
        <v>46010</v>
      </c>
      <c r="B354" s="1" t="s">
        <v>88</v>
      </c>
      <c r="C354" s="1" t="s">
        <v>377</v>
      </c>
    </row>
    <row r="355" spans="1:3">
      <c r="A355" s="3">
        <v>46011</v>
      </c>
      <c r="B355" s="1" t="s">
        <v>88</v>
      </c>
      <c r="C355" s="1" t="s">
        <v>376</v>
      </c>
    </row>
    <row r="356" spans="1:3">
      <c r="A356" s="3">
        <v>46012</v>
      </c>
      <c r="B356" s="1" t="s">
        <v>85</v>
      </c>
      <c r="C356" s="1" t="s">
        <v>376</v>
      </c>
    </row>
    <row r="357" spans="1:3">
      <c r="A357" s="3">
        <v>46013</v>
      </c>
      <c r="B357" s="1" t="s">
        <v>85</v>
      </c>
      <c r="C357" s="1" t="s">
        <v>374</v>
      </c>
    </row>
    <row r="358" spans="1:3">
      <c r="A358" s="3">
        <v>46014</v>
      </c>
      <c r="B358" s="1" t="s">
        <v>82</v>
      </c>
      <c r="C358" s="1" t="s">
        <v>374</v>
      </c>
    </row>
    <row r="359" spans="1:3">
      <c r="A359" s="3">
        <v>46015</v>
      </c>
      <c r="B359" s="1" t="s">
        <v>82</v>
      </c>
      <c r="C359" s="1" t="s">
        <v>373</v>
      </c>
    </row>
    <row r="360" spans="1:3">
      <c r="A360" s="3">
        <v>46016</v>
      </c>
      <c r="B360" s="1" t="s">
        <v>82</v>
      </c>
      <c r="C360" s="1" t="s">
        <v>373</v>
      </c>
    </row>
    <row r="361" spans="1:3">
      <c r="A361" s="3">
        <v>46017</v>
      </c>
      <c r="B361" s="1" t="s">
        <v>78</v>
      </c>
      <c r="C361" s="1" t="s">
        <v>372</v>
      </c>
    </row>
    <row r="362" spans="1:3">
      <c r="A362" s="3">
        <v>46018</v>
      </c>
      <c r="B362" s="1" t="s">
        <v>78</v>
      </c>
      <c r="C362" s="1" t="s">
        <v>370</v>
      </c>
    </row>
    <row r="363" spans="1:3">
      <c r="A363" s="3">
        <v>46019</v>
      </c>
      <c r="B363" s="1" t="s">
        <v>63</v>
      </c>
      <c r="C363" s="1" t="s">
        <v>370</v>
      </c>
    </row>
    <row r="364" spans="1:3">
      <c r="A364" s="3">
        <v>46020</v>
      </c>
      <c r="B364" s="1" t="s">
        <v>63</v>
      </c>
      <c r="C364" s="1" t="s">
        <v>369</v>
      </c>
    </row>
    <row r="365" spans="1:3">
      <c r="A365" s="3">
        <v>46021</v>
      </c>
      <c r="B365" s="1" t="s">
        <v>63</v>
      </c>
      <c r="C365" s="1" t="s">
        <v>368</v>
      </c>
    </row>
    <row r="366" spans="1:3">
      <c r="A366" s="3">
        <v>46022</v>
      </c>
      <c r="B366" s="1" t="s">
        <v>63</v>
      </c>
      <c r="C366" s="1" t="s">
        <v>368</v>
      </c>
    </row>
  </sheetData>
  <pageMargins left="0.700787401574803" right="0.700787401574803" top="0.751968503937008" bottom="0.751968503937008" header="0.3" footer="0.3"/>
  <pageSetup paperSize="9" orientation="portrait" horizontalDpi="600" verticalDpi="6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workbookViewId="0">
      <selection activeCell="A1" sqref="A1"/>
    </sheetView>
  </sheetViews>
  <sheetFormatPr defaultColWidth="9" defaultRowHeight="14.25"/>
  <cols>
    <col min="1" max="1" width="9.8515625" style="1"/>
    <col min="2" max="16384" width="9.140625" style="1"/>
  </cols>
  <sheetData>
    <row r="1" spans="1:10">
      <c r="A1" s="2" t="s">
        <v>382</v>
      </c>
      <c r="B1" s="2" t="s">
        <v>59</v>
      </c>
      <c r="C1" s="2" t="s">
        <v>58</v>
      </c>
      <c r="D1" s="2" t="s">
        <v>23</v>
      </c>
      <c r="E1" s="2" t="s">
        <v>383</v>
      </c>
      <c r="F1" s="2" t="s">
        <v>37</v>
      </c>
      <c r="G1" s="2" t="s">
        <v>46</v>
      </c>
      <c r="H1" s="2"/>
      <c r="I1" s="2"/>
      <c r="J1" s="2"/>
    </row>
    <row r="2" spans="1:10">
      <c r="A2" s="2">
        <v>27.0465277777778</v>
      </c>
      <c r="B2" s="2">
        <v>3.17430555555556</v>
      </c>
      <c r="C2" s="2">
        <v>1.98263888888889</v>
      </c>
      <c r="D2" s="2">
        <v>21.8895833333333</v>
      </c>
      <c r="E2" s="2">
        <v>0.292361111111111</v>
      </c>
      <c r="F2" s="2">
        <v>1.84444444444444</v>
      </c>
      <c r="G2" s="2">
        <v>2.59305555555556</v>
      </c>
      <c r="H2" s="2"/>
      <c r="I2" s="2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>
      <c r="A40" s="2"/>
      <c r="B40" s="2"/>
      <c r="C40" s="2"/>
      <c r="D40" s="2"/>
      <c r="E40" s="2"/>
      <c r="F40" s="2"/>
      <c r="G40" s="2"/>
      <c r="H40" s="2"/>
      <c r="I40" s="2"/>
      <c r="J40" s="2"/>
    </row>
  </sheetData>
  <pageMargins left="0.700787401574803" right="0.700787401574803" top="0.751968503937008" bottom="0.751968503937008" header="0.3" footer="0.3"/>
  <pageSetup paperSize="9" orientation="portrait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8"/>
  <sheetViews>
    <sheetView workbookViewId="0">
      <selection activeCell="I1" sqref="I$1:I$1048576"/>
    </sheetView>
  </sheetViews>
  <sheetFormatPr defaultColWidth="9" defaultRowHeight="14.25" outlineLevelRow="7"/>
  <cols>
    <col min="1" max="1" width="10.7890625" style="6" customWidth="1"/>
    <col min="2" max="2" width="16.5546875" style="1" customWidth="1"/>
    <col min="3" max="3" width="18.375" style="1" customWidth="1"/>
    <col min="4" max="4" width="17.7265625" style="1" customWidth="1"/>
    <col min="5" max="5" width="15.90625" style="1" customWidth="1"/>
    <col min="6" max="6" width="12.796875" style="1" customWidth="1"/>
    <col min="7" max="8" width="12.421875" style="1" customWidth="1"/>
    <col min="9" max="9" width="13.578125" style="1" customWidth="1"/>
    <col min="10" max="10" width="16.03125" style="1" customWidth="1"/>
    <col min="11" max="11" width="20.1953125" style="1" customWidth="1"/>
    <col min="12" max="12" width="18.6328125" style="1" customWidth="1"/>
    <col min="13" max="13" width="20.1953125" style="1" customWidth="1"/>
    <col min="14" max="14" width="19.28125" style="1" customWidth="1"/>
    <col min="15" max="15" width="18.890625" style="1" customWidth="1"/>
    <col min="16" max="16" width="13.8515625" style="1" customWidth="1"/>
    <col min="17" max="18" width="10.0078125" style="1" customWidth="1"/>
    <col min="19" max="19" width="10.140625" style="1" customWidth="1"/>
    <col min="20" max="20" width="35.8515625" style="1" customWidth="1"/>
    <col min="21" max="21" width="9" style="1"/>
    <col min="22" max="22" width="10.2734375"/>
    <col min="23" max="23" width="10.2734375" style="4"/>
    <col min="24" max="16384" width="9" style="1"/>
  </cols>
  <sheetData>
    <row r="1" s="5" customFormat="1" ht="28.5" spans="1:2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12" t="s">
        <v>18</v>
      </c>
      <c r="T1" s="5" t="s">
        <v>19</v>
      </c>
      <c r="V1" s="11" t="s">
        <v>20</v>
      </c>
      <c r="W1" s="11" t="s">
        <v>21</v>
      </c>
    </row>
    <row r="2" spans="1:23">
      <c r="A2" s="6">
        <v>45698</v>
      </c>
      <c r="B2" s="1" t="s">
        <v>40</v>
      </c>
      <c r="C2" s="1" t="s">
        <v>23</v>
      </c>
      <c r="D2" s="1" t="s">
        <v>24</v>
      </c>
      <c r="E2" s="1" t="s">
        <v>41</v>
      </c>
      <c r="F2" s="1" t="s">
        <v>41</v>
      </c>
      <c r="G2" s="1" t="s">
        <v>34</v>
      </c>
      <c r="H2" s="1" t="s">
        <v>27</v>
      </c>
      <c r="I2" s="7">
        <v>0.639583333333333</v>
      </c>
      <c r="J2" s="7">
        <v>0.670833333333333</v>
      </c>
      <c r="K2" s="4">
        <f>MOD(FEB!J2-FEB!I2,1)</f>
        <v>0.03125</v>
      </c>
      <c r="L2" s="4">
        <f>IF(FEB!J2&lt;FEB!V2,MIN(FEB!V2-FEB!J2,FEB!K2),0)</f>
        <v>0.03125</v>
      </c>
      <c r="M2" s="4">
        <f>FEB!K2-FEB!L2</f>
        <v>0</v>
      </c>
      <c r="N2" s="4">
        <f>FEB!K2-FEB!L2</f>
        <v>0</v>
      </c>
      <c r="O2" s="4">
        <v>0</v>
      </c>
      <c r="P2" s="4">
        <v>0</v>
      </c>
      <c r="Q2" s="9">
        <v>1</v>
      </c>
      <c r="R2" s="9">
        <v>1</v>
      </c>
      <c r="S2" s="9"/>
      <c r="T2" s="1" t="s">
        <v>42</v>
      </c>
      <c r="V2" s="2">
        <f>_xlfn.XLOOKUP(FEB!A:A,'SR-SS'!A:A,'SR-SS'!C:C)+TIME(0,30,0)</f>
        <v>0.767361111111111</v>
      </c>
      <c r="W2" s="2">
        <f>_xlfn.XLOOKUP(FEB!A:A,'SR-SS'!A:A,'SR-SS'!B:B)-TIME(0,30,0)</f>
        <v>0.28125</v>
      </c>
    </row>
    <row r="3" spans="1:23">
      <c r="A3" s="6">
        <v>45699</v>
      </c>
      <c r="B3" s="1" t="s">
        <v>40</v>
      </c>
      <c r="C3" s="1" t="s">
        <v>23</v>
      </c>
      <c r="D3" s="1" t="s">
        <v>24</v>
      </c>
      <c r="E3" s="1" t="s">
        <v>41</v>
      </c>
      <c r="F3" s="1" t="s">
        <v>41</v>
      </c>
      <c r="G3" s="1" t="s">
        <v>34</v>
      </c>
      <c r="H3" s="1" t="s">
        <v>27</v>
      </c>
      <c r="I3" s="7">
        <v>0.788888888888889</v>
      </c>
      <c r="J3" s="7">
        <v>0.814583333333333</v>
      </c>
      <c r="K3" s="4">
        <f>MOD(FEB!J3-FEB!I3,1)</f>
        <v>0.0256944444444445</v>
      </c>
      <c r="L3" s="4">
        <f>IF(FEB!I3&lt;FEB!V3,MIN(FEB!V3-FEB!I3,FEB!K3),0)</f>
        <v>0</v>
      </c>
      <c r="M3" s="4">
        <f>FEB!K3-FEB!L3</f>
        <v>0.0256944444444445</v>
      </c>
      <c r="N3" s="4">
        <f>FEB!K3-FEB!L3</f>
        <v>0.0256944444444445</v>
      </c>
      <c r="O3" s="4">
        <v>0</v>
      </c>
      <c r="P3" s="4">
        <v>0</v>
      </c>
      <c r="Q3" s="9">
        <v>1</v>
      </c>
      <c r="R3" s="9">
        <v>1</v>
      </c>
      <c r="S3" s="9"/>
      <c r="T3" s="1" t="s">
        <v>43</v>
      </c>
      <c r="V3" s="2">
        <f>_xlfn.XLOOKUP(FEB!A:A,'SR-SS'!A:A,'SR-SS'!C:C)+TIME(0,30,0)</f>
        <v>0.768055555555556</v>
      </c>
      <c r="W3" s="2">
        <f>_xlfn.XLOOKUP(FEB!A:A,'SR-SS'!A:A,'SR-SS'!B:B)-TIME(0,30,0)</f>
        <v>0.280555555555556</v>
      </c>
    </row>
    <row r="4" spans="1:23">
      <c r="A4" s="6">
        <v>45700</v>
      </c>
      <c r="B4" s="1" t="s">
        <v>32</v>
      </c>
      <c r="C4" s="1" t="s">
        <v>23</v>
      </c>
      <c r="D4" s="1" t="s">
        <v>24</v>
      </c>
      <c r="E4" s="1" t="s">
        <v>41</v>
      </c>
      <c r="F4" s="1" t="s">
        <v>33</v>
      </c>
      <c r="G4" s="1" t="s">
        <v>34</v>
      </c>
      <c r="H4" s="1" t="s">
        <v>27</v>
      </c>
      <c r="I4" s="7">
        <v>0.446527777777778</v>
      </c>
      <c r="J4" s="7">
        <v>0.506944444444444</v>
      </c>
      <c r="K4" s="4">
        <f>MOD(FEB!J4-FEB!I4,1)</f>
        <v>0.0604166666666666</v>
      </c>
      <c r="L4" s="4">
        <f>IF(FEB!I4&lt;FEB!V4,MIN(FEB!V4-FEB!I4,FEB!K4),0)</f>
        <v>0.0604166666666666</v>
      </c>
      <c r="M4" s="4">
        <f>FEB!K4-FEB!L4</f>
        <v>0</v>
      </c>
      <c r="N4" s="4">
        <f>FEB!K4-FEB!L4</f>
        <v>0</v>
      </c>
      <c r="O4" s="4">
        <v>0</v>
      </c>
      <c r="P4" s="4">
        <v>0</v>
      </c>
      <c r="Q4" s="9">
        <v>1</v>
      </c>
      <c r="R4" s="9">
        <v>1</v>
      </c>
      <c r="S4" s="9"/>
      <c r="T4" s="10"/>
      <c r="V4" s="2">
        <f>_xlfn.XLOOKUP(FEB!A:A,'SR-SS'!A:A,'SR-SS'!C:C)+TIME(0,30,0)</f>
        <v>0.76875</v>
      </c>
      <c r="W4" s="2">
        <f>_xlfn.XLOOKUP(FEB!A:A,'SR-SS'!A:A,'SR-SS'!B:B)-TIME(0,30,0)</f>
        <v>0.279861111111111</v>
      </c>
    </row>
    <row r="5" spans="1:23">
      <c r="A5" s="6">
        <v>45700</v>
      </c>
      <c r="B5" s="1" t="s">
        <v>32</v>
      </c>
      <c r="C5" s="1" t="s">
        <v>23</v>
      </c>
      <c r="D5" s="1" t="s">
        <v>24</v>
      </c>
      <c r="E5" s="1" t="s">
        <v>33</v>
      </c>
      <c r="F5" s="1" t="s">
        <v>25</v>
      </c>
      <c r="G5" s="1" t="s">
        <v>34</v>
      </c>
      <c r="H5" s="1" t="s">
        <v>27</v>
      </c>
      <c r="I5" s="7">
        <v>0.534722222222222</v>
      </c>
      <c r="J5" s="7">
        <v>0.580555555555556</v>
      </c>
      <c r="K5" s="4">
        <f>MOD(FEB!J5-FEB!I5,1)</f>
        <v>0.0458333333333334</v>
      </c>
      <c r="L5" s="4">
        <f>IF(FEB!I5&lt;FEB!V5,MIN(FEB!V5-FEB!I5,FEB!K5),0)</f>
        <v>0.0458333333333334</v>
      </c>
      <c r="M5" s="4">
        <f>FEB!K5-FEB!L5</f>
        <v>0</v>
      </c>
      <c r="N5" s="4">
        <f>FEB!K5-FEB!L5</f>
        <v>0</v>
      </c>
      <c r="O5" s="4">
        <v>0</v>
      </c>
      <c r="P5" s="4">
        <v>0</v>
      </c>
      <c r="Q5" s="9">
        <v>1</v>
      </c>
      <c r="R5" s="9">
        <v>1</v>
      </c>
      <c r="S5" s="9"/>
      <c r="T5" s="10"/>
      <c r="V5" s="2">
        <f>_xlfn.XLOOKUP(FEB!A:A,'SR-SS'!A:A,'SR-SS'!C:C)+TIME(0,30,0)</f>
        <v>0.76875</v>
      </c>
      <c r="W5" s="2">
        <f>_xlfn.XLOOKUP(FEB!A:A,'SR-SS'!A:A,'SR-SS'!B:B)-TIME(0,30,0)</f>
        <v>0.279861111111111</v>
      </c>
    </row>
    <row r="6" spans="1:23">
      <c r="A6" s="6">
        <v>45712</v>
      </c>
      <c r="B6" s="1" t="s">
        <v>44</v>
      </c>
      <c r="C6" s="1" t="s">
        <v>23</v>
      </c>
      <c r="D6" s="1" t="s">
        <v>30</v>
      </c>
      <c r="E6" s="1" t="s">
        <v>25</v>
      </c>
      <c r="F6" s="1" t="s">
        <v>25</v>
      </c>
      <c r="G6" s="1" t="s">
        <v>38</v>
      </c>
      <c r="H6" s="1" t="s">
        <v>27</v>
      </c>
      <c r="I6" s="7">
        <v>0.581944444444444</v>
      </c>
      <c r="J6" s="7">
        <v>0.615972222222222</v>
      </c>
      <c r="K6" s="4">
        <f>MOD(FEB!J6-FEB!I6,1)</f>
        <v>0.0340277777777778</v>
      </c>
      <c r="L6" s="4">
        <f>IF(FEB!I6&lt;V6,MIN(V6-FEB!I6,FEB!K6),0)</f>
        <v>0.0340277777777778</v>
      </c>
      <c r="M6" s="4">
        <f>FEB!K6-FEB!L6</f>
        <v>0</v>
      </c>
      <c r="N6" s="4">
        <f>FEB!K6-FEB!L6</f>
        <v>0</v>
      </c>
      <c r="O6" s="4">
        <v>0</v>
      </c>
      <c r="P6" s="4">
        <v>0</v>
      </c>
      <c r="Q6" s="9">
        <v>1</v>
      </c>
      <c r="R6" s="9">
        <v>2</v>
      </c>
      <c r="S6" s="9"/>
      <c r="V6" s="2">
        <f>_xlfn.XLOOKUP(FEB!A:A,'SR-SS'!A:A,'SR-SS'!C:C)+TIME(0,30,0)</f>
        <v>0.777083333333333</v>
      </c>
      <c r="W6" s="2">
        <f>_xlfn.XLOOKUP(FEB!A:A,'SR-SS'!A:A,'SR-SS'!B:B)-TIME(0,30,0)</f>
        <v>0.269444444444444</v>
      </c>
    </row>
    <row r="7" spans="1:23">
      <c r="A7" s="6">
        <v>45715</v>
      </c>
      <c r="B7" s="1" t="s">
        <v>37</v>
      </c>
      <c r="C7" s="1" t="s">
        <v>23</v>
      </c>
      <c r="D7" s="1" t="s">
        <v>30</v>
      </c>
      <c r="E7" s="1" t="s">
        <v>25</v>
      </c>
      <c r="F7" s="1" t="s">
        <v>25</v>
      </c>
      <c r="G7" s="1" t="s">
        <v>45</v>
      </c>
      <c r="H7" s="1" t="s">
        <v>27</v>
      </c>
      <c r="I7" s="7">
        <v>0.827083333333333</v>
      </c>
      <c r="J7" s="7">
        <v>0.858333333333333</v>
      </c>
      <c r="K7" s="4">
        <f>MOD(FEB!J7-FEB!I7,1)</f>
        <v>0.03125</v>
      </c>
      <c r="L7" s="4">
        <f>IF(FEB!I7&lt;V7,MIN(V7-FEB!I7,FEB!K7),0)</f>
        <v>0</v>
      </c>
      <c r="M7" s="4">
        <f>FEB!K7-FEB!L7</f>
        <v>0.03125</v>
      </c>
      <c r="N7" s="4">
        <f>FEB!K7-FEB!L7</f>
        <v>0.03125</v>
      </c>
      <c r="O7" s="4">
        <v>0</v>
      </c>
      <c r="P7" s="4">
        <v>0</v>
      </c>
      <c r="Q7" s="9">
        <v>3</v>
      </c>
      <c r="R7" s="9">
        <v>10</v>
      </c>
      <c r="S7" s="9"/>
      <c r="V7" s="2">
        <f>_xlfn.XLOOKUP(FEB!A:A,'SR-SS'!A:A,'SR-SS'!C:C)+TIME(0,30,0)</f>
        <v>0.779166666666667</v>
      </c>
      <c r="W7" s="2">
        <f>_xlfn.XLOOKUP(FEB!A:A,'SR-SS'!A:A,'SR-SS'!B:B)-TIME(0,30,0)</f>
        <v>0.266666666666667</v>
      </c>
    </row>
    <row r="8" spans="1:19">
      <c r="A8" s="6" t="s">
        <v>39</v>
      </c>
      <c r="K8" s="7">
        <f>SUM(Table6[Flight Duration])</f>
        <v>0.228472222222222</v>
      </c>
      <c r="L8" s="4">
        <f>SUM(Table6[Day Duration])</f>
        <v>0.171527777777778</v>
      </c>
      <c r="M8" s="4">
        <f>SUM(Table6[Night Duration])</f>
        <v>0.0569444444444445</v>
      </c>
      <c r="N8" s="4">
        <f>SUM(Table6[NVG Duration])</f>
        <v>0.0569444444444445</v>
      </c>
      <c r="O8" s="4">
        <f>SUM(Table6[Simulated IFR])</f>
        <v>0</v>
      </c>
      <c r="P8" s="4">
        <f>SUM(Table6[Real IFR])</f>
        <v>0</v>
      </c>
      <c r="Q8" s="9">
        <f>SUM(Table6[Takeoffs])</f>
        <v>8</v>
      </c>
      <c r="R8" s="9">
        <f>SUM(Table6[Landings])</f>
        <v>16</v>
      </c>
      <c r="S8" s="9">
        <f>SUM(Table6[Inst. Apps])</f>
        <v>0</v>
      </c>
    </row>
  </sheetData>
  <printOptions headings="1"/>
  <pageMargins left="0.75" right="0.75" top="1" bottom="1" header="0.5" footer="0.5"/>
  <pageSetup paperSize="9" scale="40" fitToWidth="0" fitToHeight="0" orientation="landscape" horizontalDpi="600" verticalDpi="600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6"/>
  <sheetViews>
    <sheetView workbookViewId="0">
      <selection activeCell="I1" sqref="I$1:I$1048576"/>
    </sheetView>
  </sheetViews>
  <sheetFormatPr defaultColWidth="9" defaultRowHeight="14.25" outlineLevelRow="5"/>
  <cols>
    <col min="1" max="1" width="10.7890625" style="6" customWidth="1"/>
    <col min="2" max="2" width="16.5546875" style="1" customWidth="1"/>
    <col min="3" max="3" width="18.375" style="1" customWidth="1"/>
    <col min="4" max="4" width="17.7265625" style="1" customWidth="1"/>
    <col min="5" max="5" width="15.90625" style="1" customWidth="1"/>
    <col min="6" max="6" width="12.796875" style="1" customWidth="1"/>
    <col min="7" max="8" width="12.421875" style="1" customWidth="1"/>
    <col min="9" max="9" width="13.578125" style="1" customWidth="1"/>
    <col min="10" max="10" width="16.03125" style="1" customWidth="1"/>
    <col min="11" max="11" width="20.1953125" style="1" customWidth="1"/>
    <col min="12" max="12" width="18.6328125" style="1" customWidth="1"/>
    <col min="13" max="13" width="20.1953125" style="1" customWidth="1"/>
    <col min="14" max="14" width="19.28125" style="1" customWidth="1"/>
    <col min="15" max="15" width="18.890625" style="1" customWidth="1"/>
    <col min="16" max="16" width="13.8515625" style="1" customWidth="1"/>
    <col min="17" max="18" width="10.0078125" style="1" customWidth="1"/>
    <col min="19" max="19" width="10.140625" style="1" customWidth="1"/>
    <col min="20" max="20" width="35.8515625" style="1" customWidth="1"/>
    <col min="21" max="21" width="9" style="1"/>
    <col min="22" max="22" width="10.2734375"/>
    <col min="23" max="23" width="10.2734375" style="4"/>
    <col min="24" max="16384" width="9" style="1"/>
  </cols>
  <sheetData>
    <row r="1" s="5" customFormat="1" ht="28.5" spans="1:2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12" t="s">
        <v>18</v>
      </c>
      <c r="T1" s="5" t="s">
        <v>19</v>
      </c>
      <c r="V1" s="11" t="s">
        <v>20</v>
      </c>
      <c r="W1" s="11" t="s">
        <v>21</v>
      </c>
    </row>
    <row r="2" spans="1:23">
      <c r="A2" s="6">
        <v>45719</v>
      </c>
      <c r="B2" s="1" t="s">
        <v>46</v>
      </c>
      <c r="C2" s="1" t="s">
        <v>23</v>
      </c>
      <c r="D2" s="1" t="s">
        <v>24</v>
      </c>
      <c r="E2" s="1" t="s">
        <v>25</v>
      </c>
      <c r="F2" s="1" t="s">
        <v>25</v>
      </c>
      <c r="G2" s="1" t="s">
        <v>31</v>
      </c>
      <c r="H2" s="1" t="s">
        <v>27</v>
      </c>
      <c r="I2" s="7">
        <v>0.519444444444444</v>
      </c>
      <c r="J2" s="7">
        <v>0.561111111111111</v>
      </c>
      <c r="K2" s="4">
        <f>MOD(MAR!J2-MAR!I2,1)</f>
        <v>0.0416666666666666</v>
      </c>
      <c r="L2" s="4">
        <f>IF(MAR!I2&lt;MAR!V2,MIN(MAR!V2-MAR!I2,MAR!K2),0)</f>
        <v>0.0416666666666666</v>
      </c>
      <c r="M2" s="4">
        <f>MAR!K2-MAR!L2</f>
        <v>0</v>
      </c>
      <c r="N2" s="4">
        <f>MAR!K2-MAR!L2</f>
        <v>0</v>
      </c>
      <c r="O2" s="4">
        <v>0.0416666666666667</v>
      </c>
      <c r="P2" s="4">
        <v>0</v>
      </c>
      <c r="Q2" s="9">
        <v>1</v>
      </c>
      <c r="R2" s="9">
        <v>2</v>
      </c>
      <c r="S2" s="9">
        <v>1</v>
      </c>
      <c r="T2" s="1" t="s">
        <v>47</v>
      </c>
      <c r="V2" s="2">
        <f>_xlfn.XLOOKUP(MAR!A:A,'SR-SS'!A:A,'SR-SS'!C:C)+TIME(0,30,0)</f>
        <v>0.781944444444444</v>
      </c>
      <c r="W2" s="2">
        <f>_xlfn.XLOOKUP(MAR!A:A,'SR-SS'!A:A,'SR-SS'!B:B)-TIME(0,30,0)</f>
        <v>0.263194444444444</v>
      </c>
    </row>
    <row r="3" spans="1:23">
      <c r="A3" s="6">
        <v>45720</v>
      </c>
      <c r="B3" s="1" t="s">
        <v>29</v>
      </c>
      <c r="C3" s="1" t="s">
        <v>23</v>
      </c>
      <c r="D3" s="1" t="s">
        <v>24</v>
      </c>
      <c r="E3" s="1" t="s">
        <v>25</v>
      </c>
      <c r="F3" s="1" t="s">
        <v>25</v>
      </c>
      <c r="G3" s="1" t="s">
        <v>31</v>
      </c>
      <c r="H3" s="1" t="s">
        <v>27</v>
      </c>
      <c r="I3" s="7">
        <v>0.554166666666667</v>
      </c>
      <c r="J3" s="7">
        <v>0.586111111111111</v>
      </c>
      <c r="K3" s="4">
        <f>MOD(MAR!J3-MAR!I3,1)</f>
        <v>0.0319444444444444</v>
      </c>
      <c r="L3" s="4">
        <f>IF(MAR!I3&lt;MAR!V3,MIN(MAR!V3-MAR!I3,MAR!K3),0)</f>
        <v>0.0319444444444444</v>
      </c>
      <c r="M3" s="4">
        <f>MAR!K3-MAR!L3</f>
        <v>0</v>
      </c>
      <c r="N3" s="4">
        <f>MAR!K3-MAR!L3</f>
        <v>0</v>
      </c>
      <c r="O3" s="4">
        <v>0</v>
      </c>
      <c r="P3" s="4">
        <v>0</v>
      </c>
      <c r="Q3" s="9">
        <v>1</v>
      </c>
      <c r="R3" s="9">
        <v>1</v>
      </c>
      <c r="S3" s="9"/>
      <c r="V3" s="2">
        <f>_xlfn.XLOOKUP(MAR!A:A,'SR-SS'!A:A,'SR-SS'!C:C)+TIME(0,30,0)</f>
        <v>0.782638888888889</v>
      </c>
      <c r="W3" s="2">
        <f>_xlfn.XLOOKUP(MAR!A:A,'SR-SS'!A:A,'SR-SS'!B:B)-TIME(0,30,0)</f>
        <v>0.261805555555556</v>
      </c>
    </row>
    <row r="4" spans="1:23">
      <c r="A4" s="6">
        <v>45743</v>
      </c>
      <c r="B4" s="1" t="s">
        <v>44</v>
      </c>
      <c r="C4" s="1" t="s">
        <v>23</v>
      </c>
      <c r="D4" s="1" t="s">
        <v>24</v>
      </c>
      <c r="E4" s="1" t="s">
        <v>25</v>
      </c>
      <c r="F4" s="1" t="s">
        <v>25</v>
      </c>
      <c r="G4" s="7" t="s">
        <v>38</v>
      </c>
      <c r="H4" s="1" t="s">
        <v>27</v>
      </c>
      <c r="I4" s="7">
        <v>0.346527777777778</v>
      </c>
      <c r="J4" s="7">
        <v>0.389583333333333</v>
      </c>
      <c r="K4" s="4">
        <f>MOD(MAR!J4-MAR!I4,1)</f>
        <v>0.0430555555555556</v>
      </c>
      <c r="L4" s="4">
        <f>IF(MAR!I4&lt;MAR!V4,MIN(MAR!V4-MAR!I4,MAR!K4),0)</f>
        <v>0.0430555555555556</v>
      </c>
      <c r="M4" s="4">
        <f>MAR!K4-MAR!L4</f>
        <v>0</v>
      </c>
      <c r="N4" s="4">
        <f>MAR!K4-MAR!L4</f>
        <v>0</v>
      </c>
      <c r="O4" s="4">
        <v>0</v>
      </c>
      <c r="P4" s="4">
        <v>0</v>
      </c>
      <c r="Q4" s="9">
        <v>1</v>
      </c>
      <c r="R4" s="9">
        <v>1</v>
      </c>
      <c r="S4" s="9"/>
      <c r="V4" s="2">
        <f>_xlfn.XLOOKUP(MAR!A:A,'SR-SS'!A:A,'SR-SS'!C:C)+TIME(0,30,0)</f>
        <v>0.797222222222222</v>
      </c>
      <c r="W4" s="2">
        <f>_xlfn.XLOOKUP(MAR!A:A,'SR-SS'!A:A,'SR-SS'!B:B)-TIME(0,30,0)</f>
        <v>0.238194444444444</v>
      </c>
    </row>
    <row r="5" spans="1:23">
      <c r="A5" s="6">
        <v>45744</v>
      </c>
      <c r="B5" s="1" t="s">
        <v>29</v>
      </c>
      <c r="C5" s="1" t="s">
        <v>23</v>
      </c>
      <c r="D5" s="1" t="s">
        <v>24</v>
      </c>
      <c r="E5" s="1" t="s">
        <v>25</v>
      </c>
      <c r="F5" s="1" t="s">
        <v>25</v>
      </c>
      <c r="G5" s="1" t="s">
        <v>31</v>
      </c>
      <c r="H5" s="1" t="s">
        <v>27</v>
      </c>
      <c r="I5" s="7">
        <v>0.291666666666667</v>
      </c>
      <c r="J5" s="7">
        <v>0.338194444444444</v>
      </c>
      <c r="K5" s="4">
        <f>MOD(MAR!J5-MAR!I5,1)</f>
        <v>0.0465277777777778</v>
      </c>
      <c r="L5" s="4">
        <f>IF(MAR!I5&lt;MAR!V5,MIN(MAR!V5-MAR!I5,MAR!K5),0)</f>
        <v>0.0465277777777778</v>
      </c>
      <c r="M5" s="4">
        <f>MAR!K5-MAR!L5</f>
        <v>0</v>
      </c>
      <c r="N5" s="4">
        <f>MAR!K5-MAR!L5</f>
        <v>0</v>
      </c>
      <c r="O5" s="4">
        <v>0</v>
      </c>
      <c r="P5" s="4">
        <v>0</v>
      </c>
      <c r="Q5" s="9">
        <v>1</v>
      </c>
      <c r="R5" s="9">
        <v>1</v>
      </c>
      <c r="S5" s="9"/>
      <c r="V5" s="2">
        <f>_xlfn.XLOOKUP(MAR!A:A,'SR-SS'!A:A,'SR-SS'!C:C)+TIME(0,30,0)</f>
        <v>0.797916666666667</v>
      </c>
      <c r="W5" s="2">
        <f>_xlfn.XLOOKUP(MAR!A:A,'SR-SS'!A:A,'SR-SS'!B:B)-TIME(0,30,0)</f>
        <v>0.2375</v>
      </c>
    </row>
    <row r="6" spans="1:19">
      <c r="A6" s="6" t="s">
        <v>39</v>
      </c>
      <c r="K6" s="7">
        <f>SUM(Table8[Flight Duration])</f>
        <v>0.163194444444444</v>
      </c>
      <c r="L6" s="4">
        <f>SUM(Table8[Day Duration])</f>
        <v>0.163194444444444</v>
      </c>
      <c r="M6" s="4">
        <f>SUM(Table8[Night Duration])</f>
        <v>0</v>
      </c>
      <c r="N6" s="4">
        <f>SUM(Table8[NVG Duration])</f>
        <v>0</v>
      </c>
      <c r="O6" s="4">
        <f>SUM(Table8[Simulated IFR])</f>
        <v>0.0416666666666667</v>
      </c>
      <c r="P6" s="4">
        <f>SUM(Table8[Real IFR])</f>
        <v>0</v>
      </c>
      <c r="Q6" s="9">
        <f>SUM(Table8[Takeoffs])</f>
        <v>4</v>
      </c>
      <c r="R6" s="9">
        <f>SUM(Table8[Landings])</f>
        <v>5</v>
      </c>
      <c r="S6" s="9">
        <f>SUM(Table8[Inst. Apps])</f>
        <v>1</v>
      </c>
    </row>
  </sheetData>
  <printOptions headings="1"/>
  <pageMargins left="0.75" right="0.75" top="1" bottom="1" header="0.5" footer="0.5"/>
  <pageSetup paperSize="9" scale="40" fitToWidth="0" fitToHeight="0" orientation="landscape" horizontalDpi="600" verticalDpi="600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3"/>
  <sheetViews>
    <sheetView tabSelected="1" workbookViewId="0">
      <selection activeCell="T6" sqref="T6"/>
    </sheetView>
  </sheetViews>
  <sheetFormatPr defaultColWidth="9" defaultRowHeight="14.25"/>
  <cols>
    <col min="1" max="1" width="12.3125" style="6" customWidth="1"/>
    <col min="2" max="2" width="16.5546875" style="1" customWidth="1"/>
    <col min="3" max="3" width="18.375" style="1" customWidth="1"/>
    <col min="4" max="4" width="17.7265625" style="1" customWidth="1"/>
    <col min="5" max="5" width="15.90625" style="1" customWidth="1"/>
    <col min="6" max="6" width="12.796875" style="1" customWidth="1"/>
    <col min="7" max="8" width="12.421875" style="1" customWidth="1"/>
    <col min="9" max="9" width="13.578125" style="1" customWidth="1"/>
    <col min="10" max="10" width="16.03125" style="1" customWidth="1"/>
    <col min="11" max="11" width="20.1953125" style="1" customWidth="1"/>
    <col min="12" max="12" width="18.6328125" style="1" customWidth="1"/>
    <col min="13" max="13" width="20.1953125" style="1" customWidth="1"/>
    <col min="14" max="14" width="19.28125" style="1" customWidth="1"/>
    <col min="15" max="15" width="18.890625" style="1" customWidth="1"/>
    <col min="16" max="16" width="13.8515625" style="1" customWidth="1"/>
    <col min="17" max="18" width="12.046875" style="1" customWidth="1"/>
    <col min="19" max="19" width="11.953125" style="1" customWidth="1"/>
    <col min="20" max="20" width="35.8515625" style="1" customWidth="1"/>
    <col min="21" max="21" width="9" style="1"/>
    <col min="22" max="22" width="10.2734375"/>
    <col min="23" max="23" width="10.2734375" style="4"/>
    <col min="24" max="16384" width="9" style="1"/>
  </cols>
  <sheetData>
    <row r="1" s="5" customFormat="1" spans="1:2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12" t="s">
        <v>18</v>
      </c>
      <c r="T1" s="5" t="s">
        <v>19</v>
      </c>
      <c r="V1" s="11" t="s">
        <v>20</v>
      </c>
      <c r="W1" s="11" t="s">
        <v>21</v>
      </c>
    </row>
    <row r="2" spans="1:23">
      <c r="A2" s="6">
        <v>45757</v>
      </c>
      <c r="B2" s="1" t="s">
        <v>37</v>
      </c>
      <c r="C2" s="1" t="s">
        <v>23</v>
      </c>
      <c r="D2" s="1" t="s">
        <v>24</v>
      </c>
      <c r="E2" s="1" t="s">
        <v>25</v>
      </c>
      <c r="F2" s="1" t="s">
        <v>25</v>
      </c>
      <c r="G2" s="1" t="s">
        <v>48</v>
      </c>
      <c r="H2" s="1" t="s">
        <v>27</v>
      </c>
      <c r="I2" s="7">
        <v>0.810416666666667</v>
      </c>
      <c r="J2" s="7">
        <v>0.843055555555556</v>
      </c>
      <c r="K2" s="4">
        <f>MOD(APR!J2-APR!I2,1)</f>
        <v>0.0326388888888889</v>
      </c>
      <c r="L2" s="4">
        <f>IF(APR!I2&lt;APR!V2,MIN(APR!V2-APR!I2,APR!K2),0)</f>
        <v>0</v>
      </c>
      <c r="M2" s="4">
        <f>APR!K2-APR!L2</f>
        <v>0.0326388888888889</v>
      </c>
      <c r="N2" s="4">
        <f>APR!K2-APR!L2</f>
        <v>0.0326388888888889</v>
      </c>
      <c r="O2" s="4">
        <v>0</v>
      </c>
      <c r="P2" s="4">
        <v>0</v>
      </c>
      <c r="Q2" s="9">
        <v>2</v>
      </c>
      <c r="R2" s="9">
        <v>3</v>
      </c>
      <c r="S2" s="9"/>
      <c r="T2" s="1" t="s">
        <v>49</v>
      </c>
      <c r="V2" s="2">
        <f>_xlfn.XLOOKUP(APR!A:A,'SR-SS'!A:A,'SR-SS'!C:C)+TIME(0,30,0)</f>
        <v>0.80625</v>
      </c>
      <c r="W2" s="2">
        <f>_xlfn.XLOOKUP(APR!A:A,'SR-SS'!A:A,'SR-SS'!B:B)-TIME(0,30,0)</f>
        <v>0.224305555555556</v>
      </c>
    </row>
    <row r="3" spans="1:23">
      <c r="A3" s="6">
        <v>45758</v>
      </c>
      <c r="B3" s="1" t="s">
        <v>22</v>
      </c>
      <c r="C3" s="1" t="s">
        <v>23</v>
      </c>
      <c r="D3" s="1" t="s">
        <v>24</v>
      </c>
      <c r="E3" s="1" t="s">
        <v>25</v>
      </c>
      <c r="F3" s="1" t="s">
        <v>25</v>
      </c>
      <c r="G3" s="1" t="s">
        <v>45</v>
      </c>
      <c r="H3" s="1" t="s">
        <v>27</v>
      </c>
      <c r="I3" s="7">
        <v>0.416666666666667</v>
      </c>
      <c r="J3" s="7">
        <v>0.440277777777778</v>
      </c>
      <c r="K3" s="4">
        <f>MOD(APR!J3-APR!I3,1)</f>
        <v>0.0236111111111111</v>
      </c>
      <c r="L3" s="4">
        <f>IF(APR!I3&lt;APR!V3,MIN(APR!V3-APR!I3,APR!K3),0)</f>
        <v>0.0236111111111111</v>
      </c>
      <c r="M3" s="4">
        <f>APR!K3-APR!L3</f>
        <v>0</v>
      </c>
      <c r="N3" s="4">
        <f>APR!K3-APR!L3</f>
        <v>0</v>
      </c>
      <c r="O3" s="4">
        <v>0</v>
      </c>
      <c r="P3" s="4">
        <v>0</v>
      </c>
      <c r="Q3" s="9">
        <v>2</v>
      </c>
      <c r="R3" s="9">
        <v>4</v>
      </c>
      <c r="S3" s="9"/>
      <c r="T3" s="10" t="s">
        <v>50</v>
      </c>
      <c r="V3" s="2">
        <f>_xlfn.XLOOKUP(APR!A:A,'SR-SS'!A:A,'SR-SS'!C:C)+TIME(0,30,0)</f>
        <v>0.806944444444444</v>
      </c>
      <c r="W3" s="2">
        <f>_xlfn.XLOOKUP(APR!A:A,'SR-SS'!A:A,'SR-SS'!B:B)-TIME(0,30,0)</f>
        <v>0.222916666666667</v>
      </c>
    </row>
    <row r="4" spans="1:23">
      <c r="A4" s="6">
        <v>45759</v>
      </c>
      <c r="K4" s="4">
        <f>MOD(APR!J4-APR!I4,1)</f>
        <v>0</v>
      </c>
      <c r="L4" s="4">
        <f>IF(APR!I4&lt;APR!V4,MIN(APR!V4-APR!I4,APR!K4),0)</f>
        <v>0</v>
      </c>
      <c r="M4" s="4">
        <f>APR!K4-APR!L4</f>
        <v>0</v>
      </c>
      <c r="N4" s="4">
        <f>APR!K4-APR!L4</f>
        <v>0</v>
      </c>
      <c r="O4" s="4">
        <v>0</v>
      </c>
      <c r="P4" s="4">
        <v>0</v>
      </c>
      <c r="Q4" s="9"/>
      <c r="R4" s="9"/>
      <c r="S4" s="9"/>
      <c r="V4" s="2">
        <f>_xlfn.XLOOKUP(APR!A:A,'SR-SS'!A:A,'SR-SS'!C:C)+TIME(0,30,0)</f>
        <v>0.806944444444444</v>
      </c>
      <c r="W4" s="2">
        <f>_xlfn.XLOOKUP(APR!A:A,'SR-SS'!A:A,'SR-SS'!B:B)-TIME(0,30,0)</f>
        <v>0.222222222222222</v>
      </c>
    </row>
    <row r="5" spans="1:23">
      <c r="A5" s="6">
        <v>45760</v>
      </c>
      <c r="K5" s="4">
        <f>MOD(APR!J5-APR!I5,1)</f>
        <v>0</v>
      </c>
      <c r="L5" s="4">
        <f>IF(APR!I5&lt;APR!V5,MIN(APR!V5-APR!I5,APR!K5),0)</f>
        <v>0</v>
      </c>
      <c r="M5" s="4">
        <f>APR!K5-APR!L5</f>
        <v>0</v>
      </c>
      <c r="N5" s="4">
        <f>APR!K5-APR!L5</f>
        <v>0</v>
      </c>
      <c r="O5" s="4">
        <v>0</v>
      </c>
      <c r="P5" s="4">
        <v>0</v>
      </c>
      <c r="Q5" s="9"/>
      <c r="R5" s="9"/>
      <c r="S5" s="9"/>
      <c r="V5" s="2">
        <f>_xlfn.XLOOKUP(APR!A:A,'SR-SS'!A:A,'SR-SS'!C:C)+TIME(0,30,0)</f>
        <v>0.807638888888889</v>
      </c>
      <c r="W5" s="2">
        <f>_xlfn.XLOOKUP(APR!A:A,'SR-SS'!A:A,'SR-SS'!B:B)-TIME(0,30,0)</f>
        <v>0.221527777777778</v>
      </c>
    </row>
    <row r="6" ht="28.5" spans="1:23">
      <c r="A6" s="6">
        <v>45761</v>
      </c>
      <c r="B6" s="1" t="s">
        <v>51</v>
      </c>
      <c r="C6" s="1" t="s">
        <v>23</v>
      </c>
      <c r="D6" s="1" t="s">
        <v>24</v>
      </c>
      <c r="E6" s="1" t="s">
        <v>25</v>
      </c>
      <c r="F6" s="1" t="s">
        <v>25</v>
      </c>
      <c r="G6" s="1" t="s">
        <v>48</v>
      </c>
      <c r="H6" s="1" t="s">
        <v>27</v>
      </c>
      <c r="I6" s="7">
        <v>0.413888888888889</v>
      </c>
      <c r="J6" s="7">
        <v>0.454861111111111</v>
      </c>
      <c r="K6" s="4">
        <f>MOD(APR!J6-APR!I6,1)</f>
        <v>0.0409722222222222</v>
      </c>
      <c r="L6" s="4">
        <f>IF(APR!I6&lt;APR!V6,MIN(APR!V6-APR!I6,APR!K6),0)</f>
        <v>0.0409722222222222</v>
      </c>
      <c r="M6" s="4">
        <f>APR!K6-APR!L6</f>
        <v>0</v>
      </c>
      <c r="N6" s="4">
        <f>APR!K6-APR!L6</f>
        <v>0</v>
      </c>
      <c r="O6" s="4">
        <v>0</v>
      </c>
      <c r="P6" s="4">
        <v>0</v>
      </c>
      <c r="Q6" s="9">
        <v>5</v>
      </c>
      <c r="R6" s="9">
        <v>11</v>
      </c>
      <c r="S6" s="9"/>
      <c r="T6" s="8" t="s">
        <v>52</v>
      </c>
      <c r="V6" s="2">
        <f>_xlfn.XLOOKUP(APR!A:A,'SR-SS'!A:A,'SR-SS'!C:C)+TIME(0,30,0)</f>
        <v>0.808333333333333</v>
      </c>
      <c r="W6" s="2">
        <f>_xlfn.XLOOKUP(APR!A:A,'SR-SS'!A:A,'SR-SS'!B:B)-TIME(0,30,0)</f>
        <v>0.220138888888889</v>
      </c>
    </row>
    <row r="7" spans="1:23">
      <c r="A7" s="6">
        <v>45762</v>
      </c>
      <c r="K7" s="4">
        <f>MOD(APR!J7-APR!I7,1)</f>
        <v>0</v>
      </c>
      <c r="L7" s="4">
        <f>IF(APR!I7&lt;APR!V7,MIN(APR!V7-APR!I7,APR!K7),0)</f>
        <v>0</v>
      </c>
      <c r="M7" s="4">
        <f>APR!K7-APR!L7</f>
        <v>0</v>
      </c>
      <c r="N7" s="4">
        <f>APR!K7-APR!L7</f>
        <v>0</v>
      </c>
      <c r="O7" s="4">
        <v>0</v>
      </c>
      <c r="P7" s="4">
        <v>0</v>
      </c>
      <c r="Q7" s="9"/>
      <c r="R7" s="9"/>
      <c r="S7" s="9"/>
      <c r="V7" s="2">
        <f>_xlfn.XLOOKUP(APR!A:A,'SR-SS'!A:A,'SR-SS'!C:C)+TIME(0,30,0)</f>
        <v>0.809027777777778</v>
      </c>
      <c r="W7" s="2">
        <f>_xlfn.XLOOKUP(APR!A:A,'SR-SS'!A:A,'SR-SS'!B:B)-TIME(0,30,0)</f>
        <v>0.219444444444444</v>
      </c>
    </row>
    <row r="8" spans="1:23">
      <c r="A8" s="6">
        <v>45763</v>
      </c>
      <c r="K8" s="4">
        <f>MOD(APR!J8-APR!I8,1)</f>
        <v>0</v>
      </c>
      <c r="L8" s="4">
        <f>IF(APR!I8&lt;APR!V8,MIN(APR!V8-APR!I8,APR!K8),0)</f>
        <v>0</v>
      </c>
      <c r="M8" s="4">
        <f>APR!K8-APR!L8</f>
        <v>0</v>
      </c>
      <c r="N8" s="4">
        <f>APR!K8-APR!L8</f>
        <v>0</v>
      </c>
      <c r="O8" s="4">
        <v>0</v>
      </c>
      <c r="P8" s="4">
        <v>0</v>
      </c>
      <c r="Q8" s="9"/>
      <c r="R8" s="9"/>
      <c r="S8" s="9"/>
      <c r="V8" s="2">
        <f>_xlfn.XLOOKUP(APR!A:A,'SR-SS'!A:A,'SR-SS'!C:C)+TIME(0,30,0)</f>
        <v>0.809722222222222</v>
      </c>
      <c r="W8" s="2">
        <f>_xlfn.XLOOKUP(APR!A:A,'SR-SS'!A:A,'SR-SS'!B:B)-TIME(0,30,0)</f>
        <v>0.218055555555556</v>
      </c>
    </row>
    <row r="9" spans="1:23">
      <c r="A9" s="6">
        <v>45764</v>
      </c>
      <c r="K9" s="4">
        <f>MOD(APR!J9-APR!I9,1)</f>
        <v>0</v>
      </c>
      <c r="L9" s="4">
        <f>IF(APR!I9&lt;APR!V9,MIN(APR!V9-APR!I9,APR!K9),0)</f>
        <v>0</v>
      </c>
      <c r="M9" s="4">
        <f>APR!K9-APR!L9</f>
        <v>0</v>
      </c>
      <c r="N9" s="4">
        <f>APR!K9-APR!L9</f>
        <v>0</v>
      </c>
      <c r="O9" s="4">
        <v>0</v>
      </c>
      <c r="P9" s="4">
        <v>0</v>
      </c>
      <c r="Q9" s="9"/>
      <c r="R9" s="9"/>
      <c r="S9" s="9"/>
      <c r="V9" s="2">
        <f>_xlfn.XLOOKUP(APR!A:A,'SR-SS'!A:A,'SR-SS'!C:C)+TIME(0,30,0)</f>
        <v>0.810416666666667</v>
      </c>
      <c r="W9" s="2">
        <f>_xlfn.XLOOKUP(APR!A:A,'SR-SS'!A:A,'SR-SS'!B:B)-TIME(0,30,0)</f>
        <v>0.217361111111111</v>
      </c>
    </row>
    <row r="10" spans="1:23">
      <c r="A10" s="6">
        <v>45765</v>
      </c>
      <c r="K10" s="4">
        <f>MOD(APR!J10-APR!I10,1)</f>
        <v>0</v>
      </c>
      <c r="L10" s="4">
        <f>IF(APR!I10&lt;APR!V10,MIN(APR!V10-APR!I10,APR!K10),0)</f>
        <v>0</v>
      </c>
      <c r="M10" s="4">
        <f>APR!K10-APR!L10</f>
        <v>0</v>
      </c>
      <c r="N10" s="4">
        <f>APR!K10-APR!L10</f>
        <v>0</v>
      </c>
      <c r="O10" s="4">
        <v>0</v>
      </c>
      <c r="P10" s="4">
        <v>0</v>
      </c>
      <c r="Q10" s="9"/>
      <c r="R10" s="9"/>
      <c r="S10" s="9"/>
      <c r="V10" s="2">
        <f>_xlfn.XLOOKUP(APR!A:A,'SR-SS'!A:A,'SR-SS'!C:C)+TIME(0,30,0)</f>
        <v>0.811111111111111</v>
      </c>
      <c r="W10" s="2">
        <f>_xlfn.XLOOKUP(APR!A:A,'SR-SS'!A:A,'SR-SS'!B:B)-TIME(0,30,0)</f>
        <v>0.216666666666667</v>
      </c>
    </row>
    <row r="11" spans="1:23">
      <c r="A11" s="6">
        <v>45766</v>
      </c>
      <c r="K11" s="4">
        <f>MOD(APR!J11-APR!I11,1)</f>
        <v>0</v>
      </c>
      <c r="L11" s="4">
        <f>IF(APR!I11&lt;APR!V11,MIN(APR!V11-APR!I11,APR!K11),0)</f>
        <v>0</v>
      </c>
      <c r="M11" s="4">
        <f>APR!K11-APR!L11</f>
        <v>0</v>
      </c>
      <c r="N11" s="4">
        <f>APR!K11-APR!L11</f>
        <v>0</v>
      </c>
      <c r="O11" s="4">
        <v>0</v>
      </c>
      <c r="P11" s="4">
        <v>0</v>
      </c>
      <c r="Q11" s="9"/>
      <c r="R11" s="9"/>
      <c r="S11" s="9"/>
      <c r="V11" s="2">
        <f>_xlfn.XLOOKUP(APR!A:A,'SR-SS'!A:A,'SR-SS'!C:C)+TIME(0,30,0)</f>
        <v>0.811805555555556</v>
      </c>
      <c r="W11" s="2">
        <f>_xlfn.XLOOKUP(APR!A:A,'SR-SS'!A:A,'SR-SS'!B:B)-TIME(0,30,0)</f>
        <v>0.215277777777778</v>
      </c>
    </row>
    <row r="12" spans="1:23">
      <c r="A12" s="6">
        <v>45767</v>
      </c>
      <c r="K12" s="4">
        <f>MOD(APR!J12-APR!I12,1)</f>
        <v>0</v>
      </c>
      <c r="L12" s="4">
        <f>IF(APR!I12&lt;APR!V12,MIN(APR!V12-APR!I12,APR!K12),0)</f>
        <v>0</v>
      </c>
      <c r="M12" s="4">
        <f>APR!K12-APR!L12</f>
        <v>0</v>
      </c>
      <c r="N12" s="4">
        <f>APR!K12-APR!L12</f>
        <v>0</v>
      </c>
      <c r="O12" s="4">
        <v>0</v>
      </c>
      <c r="P12" s="4">
        <v>0</v>
      </c>
      <c r="Q12" s="9"/>
      <c r="R12" s="9"/>
      <c r="S12" s="9"/>
      <c r="V12" s="2">
        <f>_xlfn.XLOOKUP(APR!A:A,'SR-SS'!A:A,'SR-SS'!C:C)+TIME(0,30,0)</f>
        <v>0.8125</v>
      </c>
      <c r="W12" s="2">
        <f>_xlfn.XLOOKUP(APR!A:A,'SR-SS'!A:A,'SR-SS'!B:B)-TIME(0,30,0)</f>
        <v>0.214583333333333</v>
      </c>
    </row>
    <row r="13" spans="1:23">
      <c r="A13" s="6">
        <v>45768</v>
      </c>
      <c r="K13" s="4">
        <f>MOD(APR!J13-APR!I13,1)</f>
        <v>0</v>
      </c>
      <c r="L13" s="4">
        <f>IF(APR!I13&lt;APR!V13,MIN(APR!V13-APR!I13,APR!K13),0)</f>
        <v>0</v>
      </c>
      <c r="M13" s="4">
        <f>APR!K13-APR!L13</f>
        <v>0</v>
      </c>
      <c r="N13" s="4">
        <f>APR!K13-APR!L13</f>
        <v>0</v>
      </c>
      <c r="O13" s="4">
        <v>0</v>
      </c>
      <c r="P13" s="4">
        <v>0</v>
      </c>
      <c r="Q13" s="9"/>
      <c r="R13" s="9"/>
      <c r="S13" s="9"/>
      <c r="V13" s="2">
        <f>_xlfn.XLOOKUP(APR!A:A,'SR-SS'!A:A,'SR-SS'!C:C)+TIME(0,30,0)</f>
        <v>0.813194444444444</v>
      </c>
      <c r="W13" s="2">
        <f>_xlfn.XLOOKUP(APR!A:A,'SR-SS'!A:A,'SR-SS'!B:B)-TIME(0,30,0)</f>
        <v>0.213888888888889</v>
      </c>
    </row>
    <row r="14" spans="1:23">
      <c r="A14" s="6">
        <v>45769</v>
      </c>
      <c r="K14" s="4">
        <f>MOD(APR!J14-APR!I14,1)</f>
        <v>0</v>
      </c>
      <c r="L14" s="4">
        <f>IF(APR!I14&lt;APR!V14,MIN(APR!V14-APR!I14,APR!K14),0)</f>
        <v>0</v>
      </c>
      <c r="M14" s="4">
        <f>APR!K14-APR!L14</f>
        <v>0</v>
      </c>
      <c r="N14" s="4">
        <f>APR!K14-APR!L14</f>
        <v>0</v>
      </c>
      <c r="O14" s="4">
        <v>0</v>
      </c>
      <c r="P14" s="4">
        <v>0</v>
      </c>
      <c r="Q14" s="9"/>
      <c r="R14" s="9"/>
      <c r="S14" s="9"/>
      <c r="V14" s="2">
        <f>_xlfn.XLOOKUP(APR!A:A,'SR-SS'!A:A,'SR-SS'!C:C)+TIME(0,30,0)</f>
        <v>0.813194444444444</v>
      </c>
      <c r="W14" s="2">
        <f>_xlfn.XLOOKUP(APR!A:A,'SR-SS'!A:A,'SR-SS'!B:B)-TIME(0,30,0)</f>
        <v>0.2125</v>
      </c>
    </row>
    <row r="15" spans="1:23">
      <c r="A15" s="6">
        <v>45770</v>
      </c>
      <c r="K15" s="4">
        <f>MOD(APR!J15-APR!I15,1)</f>
        <v>0</v>
      </c>
      <c r="L15" s="4">
        <f>IF(APR!I15&lt;APR!V15,MIN(APR!V15-APR!I15,APR!K15),0)</f>
        <v>0</v>
      </c>
      <c r="M15" s="4">
        <f>APR!K15-APR!L15</f>
        <v>0</v>
      </c>
      <c r="N15" s="4">
        <f>APR!K15-APR!L15</f>
        <v>0</v>
      </c>
      <c r="O15" s="4">
        <v>0</v>
      </c>
      <c r="P15" s="4">
        <v>0</v>
      </c>
      <c r="Q15" s="9"/>
      <c r="R15" s="9"/>
      <c r="S15" s="9"/>
      <c r="V15" s="2">
        <f>_xlfn.XLOOKUP(APR!A:A,'SR-SS'!A:A,'SR-SS'!C:C)+TIME(0,30,0)</f>
        <v>0.813888888888889</v>
      </c>
      <c r="W15" s="2">
        <f>_xlfn.XLOOKUP(APR!A:A,'SR-SS'!A:A,'SR-SS'!B:B)-TIME(0,30,0)</f>
        <v>0.211805555555556</v>
      </c>
    </row>
    <row r="16" spans="1:23">
      <c r="A16" s="6">
        <v>45771</v>
      </c>
      <c r="K16" s="4">
        <f>MOD(APR!J16-APR!I16,1)</f>
        <v>0</v>
      </c>
      <c r="L16" s="4">
        <f>IF(APR!I16&lt;APR!V16,MIN(APR!V16-APR!I16,APR!K16),0)</f>
        <v>0</v>
      </c>
      <c r="M16" s="4">
        <f>APR!K16-APR!L16</f>
        <v>0</v>
      </c>
      <c r="N16" s="4">
        <f>APR!K16-APR!L16</f>
        <v>0</v>
      </c>
      <c r="O16" s="4">
        <v>0</v>
      </c>
      <c r="P16" s="4">
        <v>0</v>
      </c>
      <c r="Q16" s="9"/>
      <c r="R16" s="9"/>
      <c r="S16" s="9"/>
      <c r="V16" s="2">
        <f>_xlfn.XLOOKUP(APR!A:A,'SR-SS'!A:A,'SR-SS'!C:C)+TIME(0,30,0)</f>
        <v>0.814583333333333</v>
      </c>
      <c r="W16" s="2">
        <f>_xlfn.XLOOKUP(APR!A:A,'SR-SS'!A:A,'SR-SS'!B:B)-TIME(0,30,0)</f>
        <v>0.211111111111111</v>
      </c>
    </row>
    <row r="17" spans="1:23">
      <c r="A17" s="6">
        <v>45772</v>
      </c>
      <c r="K17" s="4">
        <f>MOD(APR!J17-APR!I17,1)</f>
        <v>0</v>
      </c>
      <c r="L17" s="4">
        <f>IF(APR!I17&lt;APR!V17,MIN(APR!V17-APR!I17,APR!K17),0)</f>
        <v>0</v>
      </c>
      <c r="M17" s="4">
        <f>APR!K17-APR!L17</f>
        <v>0</v>
      </c>
      <c r="N17" s="4">
        <f>APR!K17-APR!L17</f>
        <v>0</v>
      </c>
      <c r="O17" s="4">
        <v>0</v>
      </c>
      <c r="P17" s="4">
        <v>0</v>
      </c>
      <c r="Q17" s="9"/>
      <c r="R17" s="9"/>
      <c r="S17" s="9"/>
      <c r="V17" s="2">
        <f>_xlfn.XLOOKUP(APR!A:A,'SR-SS'!A:A,'SR-SS'!C:C)+TIME(0,30,0)</f>
        <v>0.815277777777778</v>
      </c>
      <c r="W17" s="2">
        <f>_xlfn.XLOOKUP(APR!A:A,'SR-SS'!A:A,'SR-SS'!B:B)-TIME(0,30,0)</f>
        <v>0.210416666666667</v>
      </c>
    </row>
    <row r="18" spans="1:23">
      <c r="A18" s="6">
        <v>45773</v>
      </c>
      <c r="K18" s="4">
        <f>MOD(APR!J18-APR!I18,1)</f>
        <v>0</v>
      </c>
      <c r="L18" s="4">
        <f>IF(APR!I18&lt;APR!V18,MIN(APR!V18-APR!I18,APR!K18),0)</f>
        <v>0</v>
      </c>
      <c r="M18" s="4">
        <f>APR!K18-APR!L18</f>
        <v>0</v>
      </c>
      <c r="N18" s="4">
        <f>APR!K18-APR!L18</f>
        <v>0</v>
      </c>
      <c r="O18" s="4">
        <v>0</v>
      </c>
      <c r="P18" s="4">
        <v>0</v>
      </c>
      <c r="Q18" s="9"/>
      <c r="R18" s="9"/>
      <c r="S18" s="9"/>
      <c r="V18" s="2">
        <f>_xlfn.XLOOKUP(APR!A:A,'SR-SS'!A:A,'SR-SS'!C:C)+TIME(0,30,0)</f>
        <v>0.815972222222222</v>
      </c>
      <c r="W18" s="2">
        <f>_xlfn.XLOOKUP(APR!A:A,'SR-SS'!A:A,'SR-SS'!B:B)-TIME(0,30,0)</f>
        <v>0.209027777777778</v>
      </c>
    </row>
    <row r="19" spans="1:23">
      <c r="A19" s="6">
        <v>45774</v>
      </c>
      <c r="K19" s="4">
        <f>MOD(APR!J19-APR!I19,1)</f>
        <v>0</v>
      </c>
      <c r="L19" s="4">
        <f>IF(APR!I19&lt;APR!V19,MIN(APR!V19-APR!I19,APR!K19),0)</f>
        <v>0</v>
      </c>
      <c r="M19" s="4">
        <f>APR!K19-APR!L19</f>
        <v>0</v>
      </c>
      <c r="N19" s="4">
        <f>APR!K19-APR!L19</f>
        <v>0</v>
      </c>
      <c r="O19" s="4">
        <v>0</v>
      </c>
      <c r="P19" s="4">
        <v>0</v>
      </c>
      <c r="Q19" s="9"/>
      <c r="R19" s="9"/>
      <c r="S19" s="9"/>
      <c r="V19" s="2">
        <f>_xlfn.XLOOKUP(APR!A:A,'SR-SS'!A:A,'SR-SS'!C:C)+TIME(0,30,0)</f>
        <v>0.816666666666667</v>
      </c>
      <c r="W19" s="2">
        <f>_xlfn.XLOOKUP(APR!A:A,'SR-SS'!A:A,'SR-SS'!B:B)-TIME(0,30,0)</f>
        <v>0.208333333333333</v>
      </c>
    </row>
    <row r="20" spans="1:23">
      <c r="A20" s="6">
        <v>45775</v>
      </c>
      <c r="K20" s="4">
        <f>MOD(APR!J20-APR!I20,1)</f>
        <v>0</v>
      </c>
      <c r="L20" s="4">
        <f>IF(APR!I20&lt;APR!V20,MIN(APR!V20-APR!I20,APR!K20),0)</f>
        <v>0</v>
      </c>
      <c r="M20" s="4">
        <f>APR!K20-APR!L20</f>
        <v>0</v>
      </c>
      <c r="N20" s="4">
        <f>APR!K20-APR!L20</f>
        <v>0</v>
      </c>
      <c r="O20" s="4">
        <v>0</v>
      </c>
      <c r="P20" s="4">
        <v>0</v>
      </c>
      <c r="Q20" s="9"/>
      <c r="R20" s="9"/>
      <c r="S20" s="9"/>
      <c r="V20" s="2">
        <f>_xlfn.XLOOKUP(APR!A:A,'SR-SS'!A:A,'SR-SS'!C:C)+TIME(0,30,0)</f>
        <v>0.817361111111111</v>
      </c>
      <c r="W20" s="2">
        <f>_xlfn.XLOOKUP(APR!A:A,'SR-SS'!A:A,'SR-SS'!B:B)-TIME(0,30,0)</f>
        <v>0.207638888888889</v>
      </c>
    </row>
    <row r="21" spans="1:23">
      <c r="A21" s="6">
        <v>45776</v>
      </c>
      <c r="K21" s="4">
        <f>MOD(APR!J21-APR!I21,1)</f>
        <v>0</v>
      </c>
      <c r="L21" s="4">
        <f>IF(APR!I21&lt;APR!V21,MIN(APR!V21-APR!I21,APR!K21),0)</f>
        <v>0</v>
      </c>
      <c r="M21" s="4">
        <f>APR!K21-APR!L21</f>
        <v>0</v>
      </c>
      <c r="N21" s="4">
        <f>APR!K21-APR!L21</f>
        <v>0</v>
      </c>
      <c r="O21" s="4">
        <v>0</v>
      </c>
      <c r="P21" s="4">
        <v>0</v>
      </c>
      <c r="Q21" s="9"/>
      <c r="R21" s="9"/>
      <c r="S21" s="9"/>
      <c r="V21" s="2">
        <f>_xlfn.XLOOKUP(APR!A:A,'SR-SS'!A:A,'SR-SS'!C:C)+TIME(0,30,0)</f>
        <v>0.818055555555556</v>
      </c>
      <c r="W21" s="2">
        <f>_xlfn.XLOOKUP(APR!A:A,'SR-SS'!A:A,'SR-SS'!B:B)-TIME(0,30,0)</f>
        <v>0.206944444444444</v>
      </c>
    </row>
    <row r="22" spans="1:23">
      <c r="A22" s="6">
        <v>45777</v>
      </c>
      <c r="K22" s="4">
        <f>MOD(APR!J22-APR!I22,1)</f>
        <v>0</v>
      </c>
      <c r="L22" s="4">
        <f>IF(APR!I22&lt;APR!V22,MIN(APR!V22-APR!I22,APR!K22),0)</f>
        <v>0</v>
      </c>
      <c r="M22" s="4">
        <f>APR!K22-APR!L22</f>
        <v>0</v>
      </c>
      <c r="N22" s="4">
        <f>APR!K22-APR!L22</f>
        <v>0</v>
      </c>
      <c r="O22" s="4">
        <v>0</v>
      </c>
      <c r="P22" s="4">
        <v>0</v>
      </c>
      <c r="Q22" s="9"/>
      <c r="R22" s="9"/>
      <c r="S22" s="9"/>
      <c r="V22" s="2">
        <f>_xlfn.XLOOKUP(APR!A:A,'SR-SS'!A:A,'SR-SS'!C:C)+TIME(0,30,0)</f>
        <v>0.81875</v>
      </c>
      <c r="W22" s="2">
        <f>_xlfn.XLOOKUP(APR!A:A,'SR-SS'!A:A,'SR-SS'!B:B)-TIME(0,30,0)</f>
        <v>0.20625</v>
      </c>
    </row>
    <row r="23" spans="1:19">
      <c r="A23" s="6" t="s">
        <v>39</v>
      </c>
      <c r="K23" s="7">
        <f>SUM(Table1[Flight Duration])</f>
        <v>0.0972222222222222</v>
      </c>
      <c r="L23" s="7">
        <f>SUM(Table1[Day Duration])</f>
        <v>0.0645833333333333</v>
      </c>
      <c r="M23" s="7">
        <f>SUM(Table1[Night Duration])</f>
        <v>0.0326388888888889</v>
      </c>
      <c r="N23" s="7">
        <f>SUM(Table1[NVG Duration])</f>
        <v>0.0326388888888889</v>
      </c>
      <c r="O23" s="7">
        <f>SUM(Table1[Simulated IFR])</f>
        <v>0</v>
      </c>
      <c r="P23" s="7">
        <f>SUM(Table1[Real IFR])</f>
        <v>0</v>
      </c>
      <c r="Q23" s="9">
        <f>SUM(Table1[Takeoffs])</f>
        <v>9</v>
      </c>
      <c r="R23" s="9">
        <f>SUM(Table1[Landings])</f>
        <v>18</v>
      </c>
      <c r="S23" s="9">
        <f>SUM(Table1[Inst. Apps])</f>
        <v>0</v>
      </c>
    </row>
  </sheetData>
  <printOptions headings="1"/>
  <pageMargins left="0.75" right="0.75" top="1" bottom="1" header="0.5" footer="0.5"/>
  <pageSetup paperSize="9" scale="40" fitToWidth="0" fitToHeight="0" orientation="landscape" horizontalDpi="600" verticalDpi="600"/>
  <headerFooter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3"/>
  <sheetViews>
    <sheetView workbookViewId="0">
      <selection activeCell="I1" sqref="I$1:I$1048576"/>
    </sheetView>
  </sheetViews>
  <sheetFormatPr defaultColWidth="9" defaultRowHeight="14.25"/>
  <cols>
    <col min="1" max="1" width="10.7890625" style="6" customWidth="1"/>
    <col min="2" max="2" width="16.5546875" style="1" customWidth="1"/>
    <col min="3" max="3" width="18.375" style="1" customWidth="1"/>
    <col min="4" max="4" width="17.7265625" style="1" customWidth="1"/>
    <col min="5" max="5" width="15.90625" style="1" customWidth="1"/>
    <col min="6" max="6" width="12.796875" style="1" customWidth="1"/>
    <col min="7" max="8" width="12.421875" style="1" customWidth="1"/>
    <col min="9" max="9" width="13.578125" style="1" customWidth="1"/>
    <col min="10" max="10" width="16.03125" style="1" customWidth="1"/>
    <col min="11" max="11" width="20.1953125" style="1" customWidth="1"/>
    <col min="12" max="12" width="18.6328125" style="1" customWidth="1"/>
    <col min="13" max="13" width="20.1953125" style="1" customWidth="1"/>
    <col min="14" max="14" width="19.28125" style="1" customWidth="1"/>
    <col min="15" max="15" width="18.890625" style="1" customWidth="1"/>
    <col min="16" max="16" width="13.8515625" style="1" customWidth="1"/>
    <col min="17" max="18" width="10.0078125" style="1" customWidth="1"/>
    <col min="19" max="19" width="10.140625" style="1" customWidth="1"/>
    <col min="20" max="20" width="35.8515625" style="1" customWidth="1"/>
    <col min="21" max="21" width="9" style="1"/>
    <col min="22" max="22" width="10.2734375"/>
    <col min="23" max="23" width="10.2734375" style="4"/>
    <col min="24" max="16384" width="9" style="1"/>
  </cols>
  <sheetData>
    <row r="1" s="5" customFormat="1" spans="1:2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" t="s">
        <v>18</v>
      </c>
      <c r="T1" s="1" t="s">
        <v>19</v>
      </c>
      <c r="V1" s="11" t="s">
        <v>20</v>
      </c>
      <c r="W1" s="11" t="s">
        <v>21</v>
      </c>
    </row>
    <row r="2" spans="1:23">
      <c r="A2" s="6">
        <v>45778</v>
      </c>
      <c r="I2" s="7"/>
      <c r="K2" s="4">
        <f>MOD(MAY!J2-MAY!I2,1)</f>
        <v>0</v>
      </c>
      <c r="L2" s="4">
        <f>IF(MAY!I2&lt;MAY!V2,MIN(MAY!V2-MAY!I2,MAY!K2),0)</f>
        <v>0</v>
      </c>
      <c r="M2" s="4">
        <f>MAY!K2-MAY!L2</f>
        <v>0</v>
      </c>
      <c r="N2" s="4">
        <f>MAY!K2-MAY!L2</f>
        <v>0</v>
      </c>
      <c r="O2" s="4">
        <v>0</v>
      </c>
      <c r="P2" s="4">
        <v>0</v>
      </c>
      <c r="V2" s="2">
        <f>_xlfn.XLOOKUP(MAY!A:A,'SR-SS'!A:A,'SR-SS'!C:C)+TIME(0,30,0)</f>
        <v>0.819444444444445</v>
      </c>
      <c r="W2" s="2">
        <f>_xlfn.XLOOKUP(MAY!A:A,'SR-SS'!A:A,'SR-SS'!B:B)-TIME(0,30,0)</f>
        <v>0.205555555555556</v>
      </c>
    </row>
    <row r="3" spans="1:23">
      <c r="A3" s="6">
        <v>45779</v>
      </c>
      <c r="K3" s="4">
        <f>MOD(MAY!J3-MAY!I3,1)</f>
        <v>0</v>
      </c>
      <c r="L3" s="4">
        <f>IF(MAY!I3&lt;MAY!V3,MIN(MAY!V3-MAY!I3,MAY!K3),0)</f>
        <v>0</v>
      </c>
      <c r="M3" s="4">
        <f>MAY!K3-MAY!L3</f>
        <v>0</v>
      </c>
      <c r="N3" s="4">
        <f>MAY!K3-MAY!L3</f>
        <v>0</v>
      </c>
      <c r="O3" s="4">
        <v>0</v>
      </c>
      <c r="P3" s="4">
        <v>0</v>
      </c>
      <c r="V3" s="2">
        <f>_xlfn.XLOOKUP(MAY!A:A,'SR-SS'!A:A,'SR-SS'!C:C)+TIME(0,30,0)</f>
        <v>0.819444444444445</v>
      </c>
      <c r="W3" s="2">
        <f>_xlfn.XLOOKUP(MAY!A:A,'SR-SS'!A:A,'SR-SS'!B:B)-TIME(0,30,0)</f>
        <v>0.204166666666667</v>
      </c>
    </row>
    <row r="4" spans="1:23">
      <c r="A4" s="6">
        <v>45780</v>
      </c>
      <c r="K4" s="4">
        <f>MOD(MAY!J4-MAY!I4,1)</f>
        <v>0</v>
      </c>
      <c r="L4" s="4">
        <f>IF(MAY!I4&lt;MAY!V4,MIN(MAY!V4-MAY!I4,MAY!K4),0)</f>
        <v>0</v>
      </c>
      <c r="M4" s="4">
        <f>MAY!K4-MAY!L4</f>
        <v>0</v>
      </c>
      <c r="N4" s="4">
        <f>MAY!K4-MAY!L4</f>
        <v>0</v>
      </c>
      <c r="O4" s="4">
        <v>0</v>
      </c>
      <c r="P4" s="4">
        <v>0</v>
      </c>
      <c r="Q4" s="9"/>
      <c r="R4" s="9"/>
      <c r="S4" s="9"/>
      <c r="V4" s="2">
        <f>_xlfn.XLOOKUP(MAY!A:A,'SR-SS'!A:A,'SR-SS'!C:C)+TIME(0,30,0)</f>
        <v>0.820138888888889</v>
      </c>
      <c r="W4" s="2">
        <f>_xlfn.XLOOKUP(MAY!A:A,'SR-SS'!A:A,'SR-SS'!B:B)-TIME(0,30,0)</f>
        <v>0.203472222222222</v>
      </c>
    </row>
    <row r="5" spans="1:23">
      <c r="A5" s="6">
        <v>45781</v>
      </c>
      <c r="K5" s="4">
        <f>MOD(MAY!J5-MAY!I5,1)</f>
        <v>0</v>
      </c>
      <c r="L5" s="4">
        <f>IF(MAY!I5&lt;MAY!V5,MIN(MAY!V5-MAY!I5,MAY!K5),0)</f>
        <v>0</v>
      </c>
      <c r="M5" s="4">
        <f>MAY!K5-MAY!L5</f>
        <v>0</v>
      </c>
      <c r="N5" s="4">
        <f>MAY!K5-MAY!L5</f>
        <v>0</v>
      </c>
      <c r="O5" s="4">
        <v>0</v>
      </c>
      <c r="P5" s="4">
        <v>0</v>
      </c>
      <c r="Q5" s="9"/>
      <c r="R5" s="9"/>
      <c r="S5" s="9"/>
      <c r="V5" s="2">
        <f>_xlfn.XLOOKUP(MAY!A:A,'SR-SS'!A:A,'SR-SS'!C:C)+TIME(0,30,0)</f>
        <v>0.820833333333333</v>
      </c>
      <c r="W5" s="2">
        <f>_xlfn.XLOOKUP(MAY!A:A,'SR-SS'!A:A,'SR-SS'!B:B)-TIME(0,30,0)</f>
        <v>0.202777777777778</v>
      </c>
    </row>
    <row r="6" spans="1:23">
      <c r="A6" s="6">
        <v>45782</v>
      </c>
      <c r="I6" s="7"/>
      <c r="J6" s="7"/>
      <c r="K6" s="4">
        <f>MOD(MAY!J6-MAY!I6,1)</f>
        <v>0</v>
      </c>
      <c r="L6" s="4">
        <f>IF(MAY!I6&lt;MAY!V6,MIN(MAY!V6-MAY!I6,MAY!K6),0)</f>
        <v>0</v>
      </c>
      <c r="M6" s="4">
        <f>MAY!K6-MAY!L6</f>
        <v>0</v>
      </c>
      <c r="N6" s="4">
        <f>MAY!K6-MAY!L6</f>
        <v>0</v>
      </c>
      <c r="O6" s="4">
        <v>0</v>
      </c>
      <c r="P6" s="4">
        <v>0</v>
      </c>
      <c r="Q6" s="9"/>
      <c r="R6" s="9"/>
      <c r="S6" s="9"/>
      <c r="V6" s="2">
        <f>_xlfn.XLOOKUP(MAY!A:A,'SR-SS'!A:A,'SR-SS'!C:C)+TIME(0,30,0)</f>
        <v>0.821527777777778</v>
      </c>
      <c r="W6" s="2">
        <f>_xlfn.XLOOKUP(MAY!A:A,'SR-SS'!A:A,'SR-SS'!B:B)-TIME(0,30,0)</f>
        <v>0.202083333333333</v>
      </c>
    </row>
    <row r="7" spans="1:23">
      <c r="A7" s="6">
        <v>45783</v>
      </c>
      <c r="K7" s="4">
        <f>MOD(MAY!J7-MAY!I7,1)</f>
        <v>0</v>
      </c>
      <c r="L7" s="4">
        <f>IF(MAY!I7&lt;MAY!V7,MIN(MAY!V7-MAY!I7,MAY!K7),0)</f>
        <v>0</v>
      </c>
      <c r="M7" s="4">
        <f>MAY!K7-MAY!L7</f>
        <v>0</v>
      </c>
      <c r="N7" s="4">
        <f>MAY!K7-MAY!L7</f>
        <v>0</v>
      </c>
      <c r="O7" s="4">
        <v>0</v>
      </c>
      <c r="P7" s="4">
        <v>0</v>
      </c>
      <c r="Q7" s="9"/>
      <c r="R7" s="9"/>
      <c r="S7" s="9"/>
      <c r="V7" s="2">
        <f>_xlfn.XLOOKUP(MAY!A:A,'SR-SS'!A:A,'SR-SS'!C:C)+TIME(0,30,0)</f>
        <v>0.822222222222222</v>
      </c>
      <c r="W7" s="2">
        <f>_xlfn.XLOOKUP(MAY!A:A,'SR-SS'!A:A,'SR-SS'!B:B)-TIME(0,30,0)</f>
        <v>0.201388888888889</v>
      </c>
    </row>
    <row r="8" spans="1:23">
      <c r="A8" s="6">
        <v>45784</v>
      </c>
      <c r="K8" s="4">
        <f>MOD(MAY!J8-MAY!I8,1)</f>
        <v>0</v>
      </c>
      <c r="L8" s="4">
        <f>IF(MAY!I8&lt;MAY!V8,MIN(MAY!V8-MAY!I8,MAY!K8),0)</f>
        <v>0</v>
      </c>
      <c r="M8" s="4">
        <f>MAY!K8-MAY!L8</f>
        <v>0</v>
      </c>
      <c r="N8" s="4">
        <f>MAY!K8-MAY!L8</f>
        <v>0</v>
      </c>
      <c r="O8" s="4">
        <v>0</v>
      </c>
      <c r="P8" s="4">
        <v>0</v>
      </c>
      <c r="Q8" s="9"/>
      <c r="R8" s="9"/>
      <c r="S8" s="9"/>
      <c r="V8" s="2">
        <f>_xlfn.XLOOKUP(MAY!A:A,'SR-SS'!A:A,'SR-SS'!C:C)+TIME(0,30,0)</f>
        <v>0.822916666666667</v>
      </c>
      <c r="W8" s="2">
        <f>_xlfn.XLOOKUP(MAY!A:A,'SR-SS'!A:A,'SR-SS'!B:B)-TIME(0,30,0)</f>
        <v>0.200694444444444</v>
      </c>
    </row>
    <row r="9" spans="1:23">
      <c r="A9" s="6">
        <v>45785</v>
      </c>
      <c r="K9" s="4">
        <f>MOD(MAY!J9-MAY!I9,1)</f>
        <v>0</v>
      </c>
      <c r="L9" s="4">
        <f>IF(MAY!I9&lt;MAY!V9,MIN(MAY!V9-MAY!I9,MAY!K9),0)</f>
        <v>0</v>
      </c>
      <c r="M9" s="4">
        <f>MAY!K9-MAY!L9</f>
        <v>0</v>
      </c>
      <c r="N9" s="4">
        <f>MAY!K9-MAY!L9</f>
        <v>0</v>
      </c>
      <c r="O9" s="4">
        <v>0</v>
      </c>
      <c r="P9" s="4">
        <v>0</v>
      </c>
      <c r="Q9" s="9"/>
      <c r="R9" s="9"/>
      <c r="S9" s="9"/>
      <c r="V9" s="2">
        <f>_xlfn.XLOOKUP(MAY!A:A,'SR-SS'!A:A,'SR-SS'!C:C)+TIME(0,30,0)</f>
        <v>0.823611111111111</v>
      </c>
      <c r="W9" s="2">
        <f>_xlfn.XLOOKUP(MAY!A:A,'SR-SS'!A:A,'SR-SS'!B:B)-TIME(0,30,0)</f>
        <v>0.2</v>
      </c>
    </row>
    <row r="10" spans="1:23">
      <c r="A10" s="6">
        <v>45786</v>
      </c>
      <c r="K10" s="4">
        <f>MOD(MAY!J10-MAY!I10,1)</f>
        <v>0</v>
      </c>
      <c r="L10" s="4">
        <f>IF(MAY!I10&lt;MAY!V10,MIN(MAY!V10-MAY!I10,MAY!K10),0)</f>
        <v>0</v>
      </c>
      <c r="M10" s="4">
        <f>MAY!K10-MAY!L10</f>
        <v>0</v>
      </c>
      <c r="N10" s="4">
        <f>MAY!K10-MAY!L10</f>
        <v>0</v>
      </c>
      <c r="O10" s="4">
        <v>0</v>
      </c>
      <c r="P10" s="4">
        <v>0</v>
      </c>
      <c r="Q10" s="9"/>
      <c r="R10" s="9"/>
      <c r="S10" s="9"/>
      <c r="V10" s="2">
        <f>_xlfn.XLOOKUP(MAY!A:A,'SR-SS'!A:A,'SR-SS'!C:C)+TIME(0,30,0)</f>
        <v>0.824305555555556</v>
      </c>
      <c r="W10" s="2">
        <f>_xlfn.XLOOKUP(MAY!A:A,'SR-SS'!A:A,'SR-SS'!B:B)-TIME(0,30,0)</f>
        <v>0.199305555555556</v>
      </c>
    </row>
    <row r="11" spans="1:23">
      <c r="A11" s="6">
        <v>45787</v>
      </c>
      <c r="I11" s="7"/>
      <c r="J11" s="7"/>
      <c r="K11" s="4">
        <f>MOD(MAY!J11-MAY!I11,1)</f>
        <v>0</v>
      </c>
      <c r="L11" s="4">
        <f>IF(MAY!I11&lt;MAY!V11,MIN(MAY!V11-MAY!I11,MAY!K11),0)</f>
        <v>0</v>
      </c>
      <c r="M11" s="4">
        <f>MAY!K11-MAY!L11</f>
        <v>0</v>
      </c>
      <c r="N11" s="4">
        <f>MAY!K11-MAY!L11</f>
        <v>0</v>
      </c>
      <c r="O11" s="4">
        <v>0</v>
      </c>
      <c r="P11" s="4">
        <v>0</v>
      </c>
      <c r="Q11" s="9"/>
      <c r="R11" s="9"/>
      <c r="S11" s="9"/>
      <c r="V11" s="2">
        <f>_xlfn.XLOOKUP(MAY!A:A,'SR-SS'!A:A,'SR-SS'!C:C)+TIME(0,30,0)</f>
        <v>0.825</v>
      </c>
      <c r="W11" s="2">
        <f>_xlfn.XLOOKUP(MAY!A:A,'SR-SS'!A:A,'SR-SS'!B:B)-TIME(0,30,0)</f>
        <v>0.198611111111111</v>
      </c>
    </row>
    <row r="12" spans="1:23">
      <c r="A12" s="6">
        <v>45788</v>
      </c>
      <c r="I12" s="7"/>
      <c r="J12" s="7"/>
      <c r="K12" s="4">
        <f>MOD(MAY!J12-MAY!I12,1)</f>
        <v>0</v>
      </c>
      <c r="L12" s="4">
        <f>IF(MAY!I12&lt;MAY!V12,MIN(MAY!V12-MAY!I12,MAY!K12),0)</f>
        <v>0</v>
      </c>
      <c r="M12" s="4">
        <f>MAY!K12-MAY!L12</f>
        <v>0</v>
      </c>
      <c r="N12" s="4">
        <f>MAY!K12-MAY!L12</f>
        <v>0</v>
      </c>
      <c r="O12" s="4">
        <v>0</v>
      </c>
      <c r="P12" s="4">
        <v>0</v>
      </c>
      <c r="Q12" s="9"/>
      <c r="R12" s="9"/>
      <c r="S12" s="9"/>
      <c r="T12" s="10"/>
      <c r="V12" s="2">
        <f>_xlfn.XLOOKUP(MAY!A:A,'SR-SS'!A:A,'SR-SS'!C:C)+TIME(0,30,0)</f>
        <v>0.825</v>
      </c>
      <c r="W12" s="2">
        <f>_xlfn.XLOOKUP(MAY!A:A,'SR-SS'!A:A,'SR-SS'!B:B)-TIME(0,30,0)</f>
        <v>0.197916666666667</v>
      </c>
    </row>
    <row r="13" spans="1:23">
      <c r="A13" s="6">
        <v>45789</v>
      </c>
      <c r="K13" s="4">
        <f>MOD(MAY!J13-MAY!I13,1)</f>
        <v>0</v>
      </c>
      <c r="L13" s="4">
        <f>IF(MAY!I13&lt;MAY!V13,MIN(MAY!V13-MAY!I13,MAY!K13),0)</f>
        <v>0</v>
      </c>
      <c r="M13" s="4">
        <f>MAY!K13-MAY!L13</f>
        <v>0</v>
      </c>
      <c r="N13" s="4">
        <f>MAY!K13-MAY!L13</f>
        <v>0</v>
      </c>
      <c r="O13" s="4">
        <v>0</v>
      </c>
      <c r="P13" s="4">
        <v>0</v>
      </c>
      <c r="Q13" s="9"/>
      <c r="R13" s="9"/>
      <c r="S13" s="9"/>
      <c r="V13" s="2">
        <f>_xlfn.XLOOKUP(MAY!A:A,'SR-SS'!A:A,'SR-SS'!C:C)+TIME(0,30,0)</f>
        <v>0.825694444444445</v>
      </c>
      <c r="W13" s="2">
        <f>_xlfn.XLOOKUP(MAY!A:A,'SR-SS'!A:A,'SR-SS'!B:B)-TIME(0,30,0)</f>
        <v>0.197222222222222</v>
      </c>
    </row>
    <row r="14" spans="1:23">
      <c r="A14" s="6">
        <v>45790</v>
      </c>
      <c r="K14" s="4">
        <f>MOD(MAY!J14-MAY!I14,1)</f>
        <v>0</v>
      </c>
      <c r="L14" s="4">
        <f>IF(MAY!I14&lt;MAY!V14,MIN(MAY!V14-MAY!I14,MAY!K14),0)</f>
        <v>0</v>
      </c>
      <c r="M14" s="4">
        <f>MAY!K14-MAY!L14</f>
        <v>0</v>
      </c>
      <c r="N14" s="4">
        <f>MAY!K14-MAY!L14</f>
        <v>0</v>
      </c>
      <c r="O14" s="4">
        <v>0</v>
      </c>
      <c r="P14" s="4">
        <v>0</v>
      </c>
      <c r="Q14" s="9"/>
      <c r="R14" s="9"/>
      <c r="S14" s="9"/>
      <c r="V14" s="2">
        <f>_xlfn.XLOOKUP(MAY!A:A,'SR-SS'!A:A,'SR-SS'!C:C)+TIME(0,30,0)</f>
        <v>0.826388888888889</v>
      </c>
      <c r="W14" s="2">
        <f>_xlfn.XLOOKUP(MAY!A:A,'SR-SS'!A:A,'SR-SS'!B:B)-TIME(0,30,0)</f>
        <v>0.196527777777778</v>
      </c>
    </row>
    <row r="15" spans="1:23">
      <c r="A15" s="6">
        <v>45791</v>
      </c>
      <c r="K15" s="4">
        <f>MOD(MAY!J15-MAY!I15,1)</f>
        <v>0</v>
      </c>
      <c r="L15" s="4">
        <f>IF(MAY!I15&lt;MAY!V15,MIN(MAY!V15-MAY!I15,MAY!K15),0)</f>
        <v>0</v>
      </c>
      <c r="M15" s="4">
        <f>MAY!K15-MAY!L15</f>
        <v>0</v>
      </c>
      <c r="N15" s="4">
        <f>MAY!K15-MAY!L15</f>
        <v>0</v>
      </c>
      <c r="O15" s="4">
        <v>0</v>
      </c>
      <c r="P15" s="4">
        <v>0</v>
      </c>
      <c r="Q15" s="9"/>
      <c r="R15" s="9"/>
      <c r="S15" s="9"/>
      <c r="V15" s="2">
        <f>_xlfn.XLOOKUP(MAY!A:A,'SR-SS'!A:A,'SR-SS'!C:C)+TIME(0,30,0)</f>
        <v>0.827083333333333</v>
      </c>
      <c r="W15" s="2">
        <f>_xlfn.XLOOKUP(MAY!A:A,'SR-SS'!A:A,'SR-SS'!B:B)-TIME(0,30,0)</f>
        <v>0.196527777777778</v>
      </c>
    </row>
    <row r="16" spans="1:23">
      <c r="A16" s="6">
        <v>45792</v>
      </c>
      <c r="K16" s="4">
        <f>MOD(MAY!J16-MAY!I16,1)</f>
        <v>0</v>
      </c>
      <c r="L16" s="4">
        <f>IF(MAY!I16&lt;MAY!V16,MIN(MAY!V16-MAY!I16,MAY!K16),0)</f>
        <v>0</v>
      </c>
      <c r="M16" s="4">
        <f>MAY!K16-MAY!L16</f>
        <v>0</v>
      </c>
      <c r="N16" s="4">
        <f>MAY!K16-MAY!L16</f>
        <v>0</v>
      </c>
      <c r="O16" s="4">
        <v>0</v>
      </c>
      <c r="P16" s="4">
        <v>0</v>
      </c>
      <c r="Q16" s="9"/>
      <c r="R16" s="9"/>
      <c r="S16" s="9"/>
      <c r="V16" s="2">
        <f>_xlfn.XLOOKUP(MAY!A:A,'SR-SS'!A:A,'SR-SS'!C:C)+TIME(0,30,0)</f>
        <v>0.827777777777778</v>
      </c>
      <c r="W16" s="2">
        <f>_xlfn.XLOOKUP(MAY!A:A,'SR-SS'!A:A,'SR-SS'!B:B)-TIME(0,30,0)</f>
        <v>0.195833333333333</v>
      </c>
    </row>
    <row r="17" spans="1:23">
      <c r="A17" s="6">
        <v>45793</v>
      </c>
      <c r="K17" s="4">
        <f>MOD(MAY!J17-MAY!I17,1)</f>
        <v>0</v>
      </c>
      <c r="L17" s="4">
        <f>IF(MAY!I17&lt;MAY!V17,MIN(MAY!V17-MAY!I17,MAY!K17),0)</f>
        <v>0</v>
      </c>
      <c r="M17" s="4">
        <f>MAY!K17-MAY!L17</f>
        <v>0</v>
      </c>
      <c r="N17" s="4">
        <f>MAY!K17-MAY!L17</f>
        <v>0</v>
      </c>
      <c r="O17" s="4">
        <v>0</v>
      </c>
      <c r="P17" s="4">
        <v>0</v>
      </c>
      <c r="Q17" s="9"/>
      <c r="R17" s="9"/>
      <c r="S17" s="9"/>
      <c r="V17" s="2">
        <f>_xlfn.XLOOKUP(MAY!A:A,'SR-SS'!A:A,'SR-SS'!C:C)+TIME(0,30,0)</f>
        <v>0.828472222222222</v>
      </c>
      <c r="W17" s="2">
        <f>_xlfn.XLOOKUP(MAY!A:A,'SR-SS'!A:A,'SR-SS'!B:B)-TIME(0,30,0)</f>
        <v>0.195138888888889</v>
      </c>
    </row>
    <row r="18" spans="1:23">
      <c r="A18" s="6">
        <v>45794</v>
      </c>
      <c r="K18" s="4">
        <f>MOD(MAY!J18-MAY!I18,1)</f>
        <v>0</v>
      </c>
      <c r="L18" s="4">
        <f>IF(MAY!I18&lt;MAY!V18,MIN(MAY!V18-MAY!I18,MAY!K18),0)</f>
        <v>0</v>
      </c>
      <c r="M18" s="4">
        <f>MAY!K18-MAY!L18</f>
        <v>0</v>
      </c>
      <c r="N18" s="4">
        <f>MAY!K18-MAY!L18</f>
        <v>0</v>
      </c>
      <c r="O18" s="4">
        <v>0</v>
      </c>
      <c r="P18" s="4">
        <v>0</v>
      </c>
      <c r="Q18" s="9"/>
      <c r="R18" s="9"/>
      <c r="S18" s="9"/>
      <c r="V18" s="2">
        <f>_xlfn.XLOOKUP(MAY!A:A,'SR-SS'!A:A,'SR-SS'!C:C)+TIME(0,30,0)</f>
        <v>0.829166666666667</v>
      </c>
      <c r="W18" s="2">
        <f>_xlfn.XLOOKUP(MAY!A:A,'SR-SS'!A:A,'SR-SS'!B:B)-TIME(0,30,0)</f>
        <v>0.194444444444444</v>
      </c>
    </row>
    <row r="19" spans="1:23">
      <c r="A19" s="6">
        <v>45795</v>
      </c>
      <c r="K19" s="4">
        <f>MOD(MAY!J19-MAY!I19,1)</f>
        <v>0</v>
      </c>
      <c r="L19" s="4">
        <f>IF(MAY!I19&lt;MAY!V19,MIN(MAY!V19-MAY!I19,MAY!K19),0)</f>
        <v>0</v>
      </c>
      <c r="M19" s="4">
        <f>MAY!K19-MAY!L19</f>
        <v>0</v>
      </c>
      <c r="N19" s="4">
        <f>MAY!K19-MAY!L19</f>
        <v>0</v>
      </c>
      <c r="O19" s="4">
        <v>0</v>
      </c>
      <c r="P19" s="4">
        <v>0</v>
      </c>
      <c r="Q19" s="9"/>
      <c r="R19" s="9"/>
      <c r="S19" s="9"/>
      <c r="V19" s="2">
        <f>_xlfn.XLOOKUP(MAY!A:A,'SR-SS'!A:A,'SR-SS'!C:C)+TIME(0,30,0)</f>
        <v>0.829166666666667</v>
      </c>
      <c r="W19" s="2">
        <f>_xlfn.XLOOKUP(MAY!A:A,'SR-SS'!A:A,'SR-SS'!B:B)-TIME(0,30,0)</f>
        <v>0.19375</v>
      </c>
    </row>
    <row r="20" spans="1:23">
      <c r="A20" s="6">
        <v>45796</v>
      </c>
      <c r="K20" s="4">
        <f>MOD(MAY!J20-MAY!I20,1)</f>
        <v>0</v>
      </c>
      <c r="L20" s="4">
        <f>IF(MAY!I20&lt;MAY!V20,MIN(MAY!V20-MAY!I20,MAY!K20),0)</f>
        <v>0</v>
      </c>
      <c r="M20" s="4">
        <f>MAY!K20-MAY!L20</f>
        <v>0</v>
      </c>
      <c r="N20" s="4">
        <f>MAY!K20-MAY!L20</f>
        <v>0</v>
      </c>
      <c r="O20" s="4">
        <v>0</v>
      </c>
      <c r="P20" s="4">
        <v>0</v>
      </c>
      <c r="Q20" s="9"/>
      <c r="R20" s="9"/>
      <c r="S20" s="9"/>
      <c r="V20" s="2">
        <f>_xlfn.XLOOKUP(MAY!A:A,'SR-SS'!A:A,'SR-SS'!C:C)+TIME(0,30,0)</f>
        <v>0.829861111111111</v>
      </c>
      <c r="W20" s="2">
        <f>_xlfn.XLOOKUP(MAY!A:A,'SR-SS'!A:A,'SR-SS'!B:B)-TIME(0,30,0)</f>
        <v>0.19375</v>
      </c>
    </row>
    <row r="21" spans="1:23">
      <c r="A21" s="6">
        <v>45797</v>
      </c>
      <c r="K21" s="4">
        <f>MOD(MAY!J21-MAY!I21,1)</f>
        <v>0</v>
      </c>
      <c r="L21" s="4">
        <f>IF(MAY!I21&lt;MAY!V21,MIN(MAY!V21-MAY!I21,MAY!K21),0)</f>
        <v>0</v>
      </c>
      <c r="M21" s="4">
        <f>MAY!K21-MAY!L21</f>
        <v>0</v>
      </c>
      <c r="N21" s="4">
        <f>MAY!K21-MAY!L21</f>
        <v>0</v>
      </c>
      <c r="O21" s="4">
        <v>0</v>
      </c>
      <c r="P21" s="4">
        <v>0</v>
      </c>
      <c r="Q21" s="9"/>
      <c r="R21" s="9"/>
      <c r="S21" s="9"/>
      <c r="V21" s="2">
        <f>_xlfn.XLOOKUP(MAY!A:A,'SR-SS'!A:A,'SR-SS'!C:C)+TIME(0,30,0)</f>
        <v>0.830555555555556</v>
      </c>
      <c r="W21" s="2">
        <f>_xlfn.XLOOKUP(MAY!A:A,'SR-SS'!A:A,'SR-SS'!B:B)-TIME(0,30,0)</f>
        <v>0.193055555555556</v>
      </c>
    </row>
    <row r="22" spans="1:23">
      <c r="A22" s="6">
        <v>45798</v>
      </c>
      <c r="K22" s="4">
        <f>MOD(MAY!J22-MAY!I22,1)</f>
        <v>0</v>
      </c>
      <c r="L22" s="4">
        <f>IF(MAY!I22&lt;MAY!V22,MIN(MAY!V22-MAY!I22,MAY!K22),0)</f>
        <v>0</v>
      </c>
      <c r="M22" s="4">
        <f>MAY!K22-MAY!L22</f>
        <v>0</v>
      </c>
      <c r="N22" s="4">
        <f>MAY!K22-MAY!L22</f>
        <v>0</v>
      </c>
      <c r="O22" s="4">
        <v>0</v>
      </c>
      <c r="P22" s="4">
        <v>0</v>
      </c>
      <c r="Q22" s="9"/>
      <c r="R22" s="9"/>
      <c r="S22" s="9"/>
      <c r="V22" s="2">
        <f>_xlfn.XLOOKUP(MAY!A:A,'SR-SS'!A:A,'SR-SS'!C:C)+TIME(0,30,0)</f>
        <v>0.83125</v>
      </c>
      <c r="W22" s="2">
        <f>_xlfn.XLOOKUP(MAY!A:A,'SR-SS'!A:A,'SR-SS'!B:B)-TIME(0,30,0)</f>
        <v>0.192361111111111</v>
      </c>
    </row>
    <row r="23" spans="1:23">
      <c r="A23" s="6">
        <v>45799</v>
      </c>
      <c r="K23" s="4">
        <f>MOD(MAY!J23-MAY!I23,1)</f>
        <v>0</v>
      </c>
      <c r="L23" s="4">
        <f>IF(MAY!I23&lt;MAY!V23,MIN(MAY!V23-MAY!I23,MAY!K23),0)</f>
        <v>0</v>
      </c>
      <c r="M23" s="4">
        <f>MAY!K23-MAY!L23</f>
        <v>0</v>
      </c>
      <c r="N23" s="4">
        <f>MAY!K23-MAY!L23</f>
        <v>0</v>
      </c>
      <c r="O23" s="4">
        <v>0</v>
      </c>
      <c r="P23" s="4">
        <v>0</v>
      </c>
      <c r="Q23" s="9"/>
      <c r="R23" s="9"/>
      <c r="S23" s="9"/>
      <c r="V23" s="2">
        <f>_xlfn.XLOOKUP(MAY!A:A,'SR-SS'!A:A,'SR-SS'!C:C)+TIME(0,30,0)</f>
        <v>0.831944444444444</v>
      </c>
      <c r="W23" s="2">
        <f>_xlfn.XLOOKUP(MAY!A:A,'SR-SS'!A:A,'SR-SS'!B:B)-TIME(0,30,0)</f>
        <v>0.192361111111111</v>
      </c>
    </row>
    <row r="24" spans="1:23">
      <c r="A24" s="6">
        <v>45800</v>
      </c>
      <c r="K24" s="4">
        <f>MOD(MAY!J24-MAY!I24,1)</f>
        <v>0</v>
      </c>
      <c r="L24" s="4">
        <f>IF(MAY!I24&lt;MAY!V24,MIN(MAY!V24-MAY!I24,MAY!K24),0)</f>
        <v>0</v>
      </c>
      <c r="M24" s="4">
        <f>MAY!K24-MAY!L24</f>
        <v>0</v>
      </c>
      <c r="N24" s="4">
        <f>MAY!K24-MAY!L24</f>
        <v>0</v>
      </c>
      <c r="O24" s="4">
        <v>0</v>
      </c>
      <c r="P24" s="4">
        <v>0</v>
      </c>
      <c r="Q24" s="9"/>
      <c r="R24" s="9"/>
      <c r="S24" s="9"/>
      <c r="V24" s="2">
        <f>_xlfn.XLOOKUP(MAY!A:A,'SR-SS'!A:A,'SR-SS'!C:C)+TIME(0,30,0)</f>
        <v>0.831944444444444</v>
      </c>
      <c r="W24" s="2">
        <f>_xlfn.XLOOKUP(MAY!A:A,'SR-SS'!A:A,'SR-SS'!B:B)-TIME(0,30,0)</f>
        <v>0.191666666666667</v>
      </c>
    </row>
    <row r="25" spans="1:23">
      <c r="A25" s="6">
        <v>45801</v>
      </c>
      <c r="K25" s="4">
        <f>MOD(MAY!J25-MAY!I25,1)</f>
        <v>0</v>
      </c>
      <c r="L25" s="4">
        <f>IF(MAY!I25&lt;MAY!V25,MIN(MAY!V25-MAY!I25,MAY!K25),0)</f>
        <v>0</v>
      </c>
      <c r="M25" s="4">
        <f>MAY!K25-MAY!L25</f>
        <v>0</v>
      </c>
      <c r="N25" s="4">
        <f>MAY!K25-MAY!L25</f>
        <v>0</v>
      </c>
      <c r="O25" s="4">
        <v>0</v>
      </c>
      <c r="P25" s="4">
        <v>0</v>
      </c>
      <c r="Q25" s="9"/>
      <c r="R25" s="9"/>
      <c r="S25" s="9"/>
      <c r="V25" s="2">
        <f>_xlfn.XLOOKUP(MAY!A:A,'SR-SS'!A:A,'SR-SS'!C:C)+TIME(0,30,0)</f>
        <v>0.832638888888889</v>
      </c>
      <c r="W25" s="2">
        <f>_xlfn.XLOOKUP(MAY!A:A,'SR-SS'!A:A,'SR-SS'!B:B)-TIME(0,30,0)</f>
        <v>0.190972222222222</v>
      </c>
    </row>
    <row r="26" spans="1:23">
      <c r="A26" s="6">
        <v>45802</v>
      </c>
      <c r="K26" s="4">
        <f>MOD(MAY!J26-MAY!I26,1)</f>
        <v>0</v>
      </c>
      <c r="L26" s="4">
        <f>IF(MAY!I26&lt;MAY!V26,MIN(MAY!V26-MAY!I26,MAY!K26),0)</f>
        <v>0</v>
      </c>
      <c r="M26" s="4">
        <f>MAY!K26-MAY!L26</f>
        <v>0</v>
      </c>
      <c r="N26" s="4">
        <f>MAY!K26-MAY!L26</f>
        <v>0</v>
      </c>
      <c r="O26" s="4">
        <v>0</v>
      </c>
      <c r="P26" s="4">
        <v>0</v>
      </c>
      <c r="Q26" s="9"/>
      <c r="R26" s="9"/>
      <c r="S26" s="9"/>
      <c r="V26" s="2">
        <f>_xlfn.XLOOKUP(MAY!A:A,'SR-SS'!A:A,'SR-SS'!C:C)+TIME(0,30,0)</f>
        <v>0.833333333333333</v>
      </c>
      <c r="W26" s="2">
        <f>_xlfn.XLOOKUP(MAY!A:A,'SR-SS'!A:A,'SR-SS'!B:B)-TIME(0,30,0)</f>
        <v>0.190972222222222</v>
      </c>
    </row>
    <row r="27" spans="1:23">
      <c r="A27" s="6">
        <v>45803</v>
      </c>
      <c r="K27" s="4">
        <f>MOD(MAY!J27-MAY!I27,1)</f>
        <v>0</v>
      </c>
      <c r="L27" s="4">
        <f>IF(MAY!I27&lt;MAY!V27,MIN(MAY!V27-MAY!I27,MAY!K27),0)</f>
        <v>0</v>
      </c>
      <c r="M27" s="4">
        <f>MAY!K27-MAY!L27</f>
        <v>0</v>
      </c>
      <c r="N27" s="4">
        <f>MAY!K27-MAY!L27</f>
        <v>0</v>
      </c>
      <c r="O27" s="4">
        <v>0</v>
      </c>
      <c r="P27" s="4">
        <v>0</v>
      </c>
      <c r="Q27" s="9"/>
      <c r="R27" s="9"/>
      <c r="S27" s="9"/>
      <c r="V27" s="2">
        <f>_xlfn.XLOOKUP(MAY!A:A,'SR-SS'!A:A,'SR-SS'!C:C)+TIME(0,30,0)</f>
        <v>0.834027777777778</v>
      </c>
      <c r="W27" s="2">
        <f>_xlfn.XLOOKUP(MAY!A:A,'SR-SS'!A:A,'SR-SS'!B:B)-TIME(0,30,0)</f>
        <v>0.190277777777778</v>
      </c>
    </row>
    <row r="28" spans="1:23">
      <c r="A28" s="6">
        <v>45804</v>
      </c>
      <c r="K28" s="4">
        <f>MOD(MAY!J28-MAY!I28,1)</f>
        <v>0</v>
      </c>
      <c r="L28" s="4">
        <f>IF(MAY!I28&lt;MAY!V28,MIN(MAY!V28-MAY!I28,MAY!K28),0)</f>
        <v>0</v>
      </c>
      <c r="M28" s="4">
        <f>MAY!K28-MAY!L28</f>
        <v>0</v>
      </c>
      <c r="N28" s="4">
        <f>MAY!K28-MAY!L28</f>
        <v>0</v>
      </c>
      <c r="O28" s="4">
        <v>0</v>
      </c>
      <c r="P28" s="4">
        <v>0</v>
      </c>
      <c r="Q28" s="9"/>
      <c r="R28" s="9"/>
      <c r="S28" s="9"/>
      <c r="V28" s="2">
        <f>_xlfn.XLOOKUP(MAY!A:A,'SR-SS'!A:A,'SR-SS'!C:C)+TIME(0,30,0)</f>
        <v>0.834027777777778</v>
      </c>
      <c r="W28" s="2">
        <f>_xlfn.XLOOKUP(MAY!A:A,'SR-SS'!A:A,'SR-SS'!B:B)-TIME(0,30,0)</f>
        <v>0.190277777777778</v>
      </c>
    </row>
    <row r="29" spans="1:23">
      <c r="A29" s="6">
        <v>45805</v>
      </c>
      <c r="K29" s="4">
        <f>MOD(MAY!J29-MAY!I29,1)</f>
        <v>0</v>
      </c>
      <c r="L29" s="4">
        <f>IF(MAY!I29&lt;MAY!V29,MIN(MAY!V29-MAY!I29,MAY!K29),0)</f>
        <v>0</v>
      </c>
      <c r="M29" s="4">
        <f>MAY!K29-MAY!L29</f>
        <v>0</v>
      </c>
      <c r="N29" s="4">
        <f>MAY!K29-MAY!L29</f>
        <v>0</v>
      </c>
      <c r="O29" s="4">
        <v>0</v>
      </c>
      <c r="P29" s="4">
        <v>0</v>
      </c>
      <c r="Q29" s="9"/>
      <c r="R29" s="9"/>
      <c r="S29" s="9"/>
      <c r="V29" s="2">
        <f>_xlfn.XLOOKUP(MAY!A:A,'SR-SS'!A:A,'SR-SS'!C:C)+TIME(0,30,0)</f>
        <v>0.834722222222222</v>
      </c>
      <c r="W29" s="2">
        <f>_xlfn.XLOOKUP(MAY!A:A,'SR-SS'!A:A,'SR-SS'!B:B)-TIME(0,30,0)</f>
        <v>0.189583333333333</v>
      </c>
    </row>
    <row r="30" spans="1:23">
      <c r="A30" s="6">
        <v>45806</v>
      </c>
      <c r="K30" s="4">
        <f>MOD(MAY!J30-MAY!I30,1)</f>
        <v>0</v>
      </c>
      <c r="L30" s="4">
        <f>IF(MAY!I30&lt;MAY!V30,MIN(MAY!V30-MAY!I30,MAY!K30),0)</f>
        <v>0</v>
      </c>
      <c r="M30" s="4">
        <f>MAY!K30-MAY!L30</f>
        <v>0</v>
      </c>
      <c r="N30" s="4">
        <f>MAY!K30-MAY!L30</f>
        <v>0</v>
      </c>
      <c r="O30" s="4">
        <v>0</v>
      </c>
      <c r="P30" s="4">
        <v>0</v>
      </c>
      <c r="Q30" s="9"/>
      <c r="R30" s="9"/>
      <c r="S30" s="9"/>
      <c r="V30" s="2">
        <f>_xlfn.XLOOKUP(MAY!A:A,'SR-SS'!A:A,'SR-SS'!C:C)+TIME(0,30,0)</f>
        <v>0.835416666666667</v>
      </c>
      <c r="W30" s="2">
        <f>_xlfn.XLOOKUP(MAY!A:A,'SR-SS'!A:A,'SR-SS'!B:B)-TIME(0,30,0)</f>
        <v>0.189583333333333</v>
      </c>
    </row>
    <row r="31" spans="1:23">
      <c r="A31" s="6">
        <v>45807</v>
      </c>
      <c r="K31" s="4">
        <f>MOD(MAY!J31-MAY!I31,1)</f>
        <v>0</v>
      </c>
      <c r="L31" s="4">
        <f>IF(MAY!I31&lt;MAY!V31,MIN(MAY!V31-MAY!I31,MAY!K31),0)</f>
        <v>0</v>
      </c>
      <c r="M31" s="4">
        <f>MAY!K31-MAY!L31</f>
        <v>0</v>
      </c>
      <c r="N31" s="4">
        <f>MAY!K31-MAY!L31</f>
        <v>0</v>
      </c>
      <c r="O31" s="4">
        <v>0</v>
      </c>
      <c r="P31" s="4">
        <v>0</v>
      </c>
      <c r="Q31" s="9"/>
      <c r="R31" s="9"/>
      <c r="S31" s="9"/>
      <c r="V31" s="2">
        <f>_xlfn.XLOOKUP(MAY!A:A,'SR-SS'!A:A,'SR-SS'!C:C)+TIME(0,30,0)</f>
        <v>0.835416666666667</v>
      </c>
      <c r="W31" s="2">
        <f>_xlfn.XLOOKUP(MAY!A:A,'SR-SS'!A:A,'SR-SS'!B:B)-TIME(0,30,0)</f>
        <v>0.188888888888889</v>
      </c>
    </row>
    <row r="32" spans="1:23">
      <c r="A32" s="6">
        <v>45808</v>
      </c>
      <c r="K32" s="4">
        <f>MOD(MAY!J32-MAY!I32,1)</f>
        <v>0</v>
      </c>
      <c r="L32" s="4">
        <f>IF(MAY!I32&lt;MAY!V32,MIN(MAY!V32-MAY!I32,MAY!K32),0)</f>
        <v>0</v>
      </c>
      <c r="M32" s="4">
        <f>MAY!K32-MAY!L32</f>
        <v>0</v>
      </c>
      <c r="N32" s="4">
        <f>MAY!K32-MAY!L32</f>
        <v>0</v>
      </c>
      <c r="O32" s="4">
        <v>0</v>
      </c>
      <c r="P32" s="4">
        <v>0</v>
      </c>
      <c r="Q32" s="9"/>
      <c r="R32" s="9"/>
      <c r="S32" s="9"/>
      <c r="V32" s="2">
        <f>_xlfn.XLOOKUP(MAY!A:A,'SR-SS'!A:A,'SR-SS'!C:C)+TIME(0,30,0)</f>
        <v>0.836111111111111</v>
      </c>
      <c r="W32" s="2">
        <f>_xlfn.XLOOKUP(MAY!A:A,'SR-SS'!A:A,'SR-SS'!B:B)-TIME(0,30,0)</f>
        <v>0.188888888888889</v>
      </c>
    </row>
    <row r="33" spans="1:19">
      <c r="A33" s="6" t="s">
        <v>39</v>
      </c>
      <c r="K33" s="7">
        <f>SUM(Table9[Flight Duration])</f>
        <v>0</v>
      </c>
      <c r="L33" s="4">
        <f>SUM(Table9[Day Duration])</f>
        <v>0</v>
      </c>
      <c r="M33" s="4">
        <f>SUM(Table9[Night Duration])</f>
        <v>0</v>
      </c>
      <c r="N33" s="4">
        <f>SUM(Table9[NVG Duration])</f>
        <v>0</v>
      </c>
      <c r="O33" s="4">
        <f>SUM(Table9[Simulated IFR])</f>
        <v>0</v>
      </c>
      <c r="P33" s="4">
        <f>SUM(Table9[Real IFR])</f>
        <v>0</v>
      </c>
      <c r="Q33" s="9">
        <f>SUM(Table9[Takeoffs])</f>
        <v>0</v>
      </c>
      <c r="R33" s="9">
        <f>SUM(Table9[Landings])</f>
        <v>0</v>
      </c>
      <c r="S33" s="9">
        <f>SUM(Table9[Inst. Apps])</f>
        <v>0</v>
      </c>
    </row>
  </sheetData>
  <printOptions headings="1"/>
  <pageMargins left="0.75" right="0.75" top="1" bottom="1" header="0.5" footer="0.5"/>
  <pageSetup paperSize="9" scale="40" fitToWidth="0" fitToHeight="0" orientation="landscape" horizontalDpi="600" verticalDpi="600"/>
  <headerFooter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8"/>
  <sheetViews>
    <sheetView workbookViewId="0">
      <selection activeCell="I1" sqref="I$1:I$1048576"/>
    </sheetView>
  </sheetViews>
  <sheetFormatPr defaultColWidth="9" defaultRowHeight="14.25"/>
  <cols>
    <col min="1" max="1" width="10.7890625" style="6" customWidth="1"/>
    <col min="2" max="2" width="16.5546875" style="1" customWidth="1"/>
    <col min="3" max="3" width="18.375" style="1" customWidth="1"/>
    <col min="4" max="4" width="17.7265625" style="1" customWidth="1"/>
    <col min="5" max="5" width="15.90625" style="1" customWidth="1"/>
    <col min="6" max="6" width="12.796875" style="1" customWidth="1"/>
    <col min="7" max="8" width="12.421875" style="1" customWidth="1"/>
    <col min="9" max="9" width="13.578125" style="1" customWidth="1"/>
    <col min="10" max="10" width="16.03125" style="1" customWidth="1"/>
    <col min="11" max="11" width="20.1953125" style="1" customWidth="1"/>
    <col min="12" max="12" width="18.6328125" style="1" customWidth="1"/>
    <col min="13" max="13" width="20.1953125" style="1" customWidth="1"/>
    <col min="14" max="14" width="19.28125" style="1" customWidth="1"/>
    <col min="15" max="15" width="18.890625" style="1" customWidth="1"/>
    <col min="16" max="16" width="13.8515625" style="1" customWidth="1"/>
    <col min="17" max="18" width="10.0078125" style="1" customWidth="1"/>
    <col min="19" max="19" width="10.140625" style="1" customWidth="1"/>
    <col min="20" max="20" width="35.8515625" style="1" customWidth="1"/>
    <col min="21" max="21" width="9" style="1"/>
    <col min="22" max="22" width="10.2734375"/>
    <col min="23" max="23" width="10.2734375" style="4"/>
    <col min="24" max="16384" width="9" style="1"/>
  </cols>
  <sheetData>
    <row r="1" s="5" customFormat="1" spans="1:23">
      <c r="A1" s="5" t="s">
        <v>0</v>
      </c>
      <c r="B1" s="5" t="s">
        <v>1</v>
      </c>
      <c r="C1" s="5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5" t="s">
        <v>10</v>
      </c>
      <c r="L1" s="5" t="s">
        <v>11</v>
      </c>
      <c r="M1" s="5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" t="s">
        <v>18</v>
      </c>
      <c r="T1" s="1" t="s">
        <v>19</v>
      </c>
      <c r="V1" s="11" t="s">
        <v>20</v>
      </c>
      <c r="W1" s="11" t="s">
        <v>21</v>
      </c>
    </row>
    <row r="2" spans="1:23">
      <c r="A2" s="6">
        <v>45809</v>
      </c>
      <c r="K2" s="4">
        <f>MOD(JUN!J2-JUN!I2,1)</f>
        <v>0</v>
      </c>
      <c r="L2" s="4">
        <f>IF(JUN!I2&lt;JUN!V2,MIN(JUN!V2-JUN!I2,JUN!K2),0)</f>
        <v>0</v>
      </c>
      <c r="M2" s="4">
        <f>JUN!K2-JUN!L2</f>
        <v>0</v>
      </c>
      <c r="N2" s="4">
        <f>JUN!K2-JUN!L2</f>
        <v>0</v>
      </c>
      <c r="O2" s="4">
        <v>0</v>
      </c>
      <c r="P2" s="4">
        <v>0</v>
      </c>
      <c r="V2" s="2">
        <f>_xlfn.XLOOKUP(JUN!A:A,'SR-SS'!A:A,'SR-SS'!C:C)+TIME(0,30,0)</f>
        <v>0.836805555555556</v>
      </c>
      <c r="W2" s="2">
        <f>_xlfn.XLOOKUP(JUN!A:A,'SR-SS'!A:A,'SR-SS'!B:B)-TIME(0,30,0)</f>
        <v>0.188888888888889</v>
      </c>
    </row>
    <row r="3" spans="1:23">
      <c r="A3" s="6">
        <v>45810</v>
      </c>
      <c r="K3" s="4">
        <f>MOD(JUN!J3-JUN!I3,1)</f>
        <v>0</v>
      </c>
      <c r="L3" s="4">
        <f>IF(JUN!I3&lt;JUN!V3,MIN(JUN!V3-JUN!I3,JUN!K3),0)</f>
        <v>0</v>
      </c>
      <c r="M3" s="4">
        <f>JUN!K3-JUN!L3</f>
        <v>0</v>
      </c>
      <c r="N3" s="4">
        <f>JUN!K3-JUN!L3</f>
        <v>0</v>
      </c>
      <c r="O3" s="4">
        <v>0</v>
      </c>
      <c r="P3" s="4">
        <v>0</v>
      </c>
      <c r="V3" s="2">
        <f>_xlfn.XLOOKUP(JUN!A:A,'SR-SS'!A:A,'SR-SS'!C:C)+TIME(0,30,0)</f>
        <v>0.836805555555556</v>
      </c>
      <c r="W3" s="2">
        <f>_xlfn.XLOOKUP(JUN!A:A,'SR-SS'!A:A,'SR-SS'!B:B)-TIME(0,30,0)</f>
        <v>0.188194444444444</v>
      </c>
    </row>
    <row r="4" spans="1:23">
      <c r="A4" s="6">
        <v>45811</v>
      </c>
      <c r="K4" s="4">
        <f>MOD(JUN!J4-JUN!I4,1)</f>
        <v>0</v>
      </c>
      <c r="L4" s="4">
        <f>IF(JUN!I4&lt;JUN!V4,MIN(JUN!V4-JUN!I4,JUN!K4),0)</f>
        <v>0</v>
      </c>
      <c r="M4" s="4">
        <f>JUN!K4-JUN!L4</f>
        <v>0</v>
      </c>
      <c r="N4" s="4">
        <f>JUN!K4-JUN!L4</f>
        <v>0</v>
      </c>
      <c r="O4" s="4">
        <v>0</v>
      </c>
      <c r="P4" s="4">
        <v>0</v>
      </c>
      <c r="Q4" s="9"/>
      <c r="R4" s="9"/>
      <c r="S4" s="9"/>
      <c r="V4" s="2">
        <f>_xlfn.XLOOKUP(JUN!A:A,'SR-SS'!A:A,'SR-SS'!C:C)+TIME(0,30,0)</f>
        <v>0.8375</v>
      </c>
      <c r="W4" s="2">
        <f>_xlfn.XLOOKUP(JUN!A:A,'SR-SS'!A:A,'SR-SS'!B:B)-TIME(0,30,0)</f>
        <v>0.188194444444444</v>
      </c>
    </row>
    <row r="5" spans="1:23">
      <c r="A5" s="6">
        <v>45812</v>
      </c>
      <c r="K5" s="4">
        <f>MOD(JUN!J5-JUN!I5,1)</f>
        <v>0</v>
      </c>
      <c r="L5" s="4">
        <f>IF(JUN!I5&lt;JUN!V5,MIN(JUN!V5-JUN!I5,JUN!K5),0)</f>
        <v>0</v>
      </c>
      <c r="M5" s="4">
        <f>JUN!K5-JUN!L5</f>
        <v>0</v>
      </c>
      <c r="N5" s="4">
        <f>JUN!K5-JUN!L5</f>
        <v>0</v>
      </c>
      <c r="O5" s="4">
        <v>0</v>
      </c>
      <c r="P5" s="4">
        <v>0</v>
      </c>
      <c r="Q5" s="9"/>
      <c r="R5" s="9"/>
      <c r="S5" s="9"/>
      <c r="V5" s="2">
        <f>_xlfn.XLOOKUP(JUN!A:A,'SR-SS'!A:A,'SR-SS'!C:C)+TIME(0,30,0)</f>
        <v>0.838194444444444</v>
      </c>
      <c r="W5" s="2">
        <f>_xlfn.XLOOKUP(JUN!A:A,'SR-SS'!A:A,'SR-SS'!B:B)-TIME(0,30,0)</f>
        <v>0.188194444444444</v>
      </c>
    </row>
    <row r="6" spans="1:23">
      <c r="A6" s="6">
        <v>45813</v>
      </c>
      <c r="K6" s="4">
        <f>MOD(JUN!J6-JUN!I6,1)</f>
        <v>0</v>
      </c>
      <c r="L6" s="4">
        <f>IF(JUN!I6&lt;JUN!V6,MIN(JUN!V6-JUN!I6,JUN!K6),0)</f>
        <v>0</v>
      </c>
      <c r="M6" s="4">
        <f>JUN!K6-JUN!L6</f>
        <v>0</v>
      </c>
      <c r="N6" s="4">
        <f>JUN!K6-JUN!L6</f>
        <v>0</v>
      </c>
      <c r="O6" s="4">
        <v>0</v>
      </c>
      <c r="P6" s="4">
        <v>0</v>
      </c>
      <c r="Q6" s="9"/>
      <c r="R6" s="9"/>
      <c r="S6" s="9"/>
      <c r="V6" s="2">
        <f>_xlfn.XLOOKUP(JUN!A:A,'SR-SS'!A:A,'SR-SS'!C:C)+TIME(0,30,0)</f>
        <v>0.838194444444444</v>
      </c>
      <c r="W6" s="2">
        <f>_xlfn.XLOOKUP(JUN!A:A,'SR-SS'!A:A,'SR-SS'!B:B)-TIME(0,30,0)</f>
        <v>0.1875</v>
      </c>
    </row>
    <row r="7" spans="1:23">
      <c r="A7" s="6">
        <v>45814</v>
      </c>
      <c r="K7" s="4">
        <f>MOD(JUN!J7-JUN!I7,1)</f>
        <v>0</v>
      </c>
      <c r="L7" s="4">
        <f>IF(JUN!I7&lt;JUN!V7,MIN(JUN!V7-JUN!I7,JUN!K7),0)</f>
        <v>0</v>
      </c>
      <c r="M7" s="4">
        <f>JUN!K7-JUN!L7</f>
        <v>0</v>
      </c>
      <c r="N7" s="4">
        <f>JUN!K7-JUN!L7</f>
        <v>0</v>
      </c>
      <c r="O7" s="4">
        <v>0</v>
      </c>
      <c r="P7" s="4">
        <v>0</v>
      </c>
      <c r="Q7" s="9"/>
      <c r="R7" s="9"/>
      <c r="S7" s="9"/>
      <c r="V7" s="2">
        <f>_xlfn.XLOOKUP(JUN!A:A,'SR-SS'!A:A,'SR-SS'!C:C)+TIME(0,30,0)</f>
        <v>0.838888888888889</v>
      </c>
      <c r="W7" s="2">
        <f>_xlfn.XLOOKUP(JUN!A:A,'SR-SS'!A:A,'SR-SS'!B:B)-TIME(0,30,0)</f>
        <v>0.1875</v>
      </c>
    </row>
    <row r="8" spans="1:23">
      <c r="A8" s="6">
        <v>45815</v>
      </c>
      <c r="K8" s="4">
        <f>MOD(JUN!J8-JUN!I8,1)</f>
        <v>0</v>
      </c>
      <c r="L8" s="4">
        <f>IF(JUN!I8&lt;JUN!V8,MIN(JUN!V8-JUN!I8,JUN!K8),0)</f>
        <v>0</v>
      </c>
      <c r="M8" s="4">
        <f>JUN!K8-JUN!L8</f>
        <v>0</v>
      </c>
      <c r="N8" s="4">
        <f>JUN!K8-JUN!L8</f>
        <v>0</v>
      </c>
      <c r="O8" s="4">
        <v>0</v>
      </c>
      <c r="P8" s="4">
        <v>0</v>
      </c>
      <c r="Q8" s="9"/>
      <c r="R8" s="9"/>
      <c r="S8" s="9"/>
      <c r="V8" s="2">
        <f>_xlfn.XLOOKUP(JUN!A:A,'SR-SS'!A:A,'SR-SS'!C:C)+TIME(0,30,0)</f>
        <v>0.838888888888889</v>
      </c>
      <c r="W8" s="2">
        <f>_xlfn.XLOOKUP(JUN!A:A,'SR-SS'!A:A,'SR-SS'!B:B)-TIME(0,30,0)</f>
        <v>0.1875</v>
      </c>
    </row>
    <row r="9" spans="1:23">
      <c r="A9" s="6">
        <v>45816</v>
      </c>
      <c r="K9" s="4">
        <f>MOD(JUN!J9-JUN!I9,1)</f>
        <v>0</v>
      </c>
      <c r="L9" s="4">
        <f>IF(JUN!I9&lt;JUN!V9,MIN(JUN!V9-JUN!I9,JUN!K9),0)</f>
        <v>0</v>
      </c>
      <c r="M9" s="4">
        <f>JUN!K9-JUN!L9</f>
        <v>0</v>
      </c>
      <c r="N9" s="4">
        <f>JUN!K9-JUN!L9</f>
        <v>0</v>
      </c>
      <c r="O9" s="4">
        <v>0</v>
      </c>
      <c r="P9" s="4">
        <v>0</v>
      </c>
      <c r="Q9" s="9"/>
      <c r="R9" s="9"/>
      <c r="S9" s="9"/>
      <c r="V9" s="2">
        <f>_xlfn.XLOOKUP(JUN!A:A,'SR-SS'!A:A,'SR-SS'!C:C)+TIME(0,30,0)</f>
        <v>0.839583333333333</v>
      </c>
      <c r="W9" s="2">
        <f>_xlfn.XLOOKUP(JUN!A:A,'SR-SS'!A:A,'SR-SS'!B:B)-TIME(0,30,0)</f>
        <v>0.1875</v>
      </c>
    </row>
    <row r="10" spans="1:23">
      <c r="A10" s="6">
        <v>45817</v>
      </c>
      <c r="K10" s="4">
        <f>MOD(JUN!J10-JUN!I10,1)</f>
        <v>0</v>
      </c>
      <c r="L10" s="4">
        <f>IF(JUN!I10&lt;JUN!V10,MIN(JUN!V10-JUN!I10,JUN!K10),0)</f>
        <v>0</v>
      </c>
      <c r="M10" s="4">
        <f>JUN!K10-JUN!L10</f>
        <v>0</v>
      </c>
      <c r="N10" s="4">
        <f>JUN!K10-JUN!L10</f>
        <v>0</v>
      </c>
      <c r="O10" s="4">
        <v>0</v>
      </c>
      <c r="P10" s="4">
        <v>0</v>
      </c>
      <c r="Q10" s="9"/>
      <c r="R10" s="9"/>
      <c r="S10" s="9"/>
      <c r="V10" s="2">
        <f>_xlfn.XLOOKUP(JUN!A:A,'SR-SS'!A:A,'SR-SS'!C:C)+TIME(0,30,0)</f>
        <v>0.839583333333333</v>
      </c>
      <c r="W10" s="2">
        <f>_xlfn.XLOOKUP(JUN!A:A,'SR-SS'!A:A,'SR-SS'!B:B)-TIME(0,30,0)</f>
        <v>0.1875</v>
      </c>
    </row>
    <row r="11" spans="1:23">
      <c r="A11" s="6">
        <v>45818</v>
      </c>
      <c r="I11" s="7"/>
      <c r="J11" s="7"/>
      <c r="K11" s="4">
        <f>MOD(JUN!J11-JUN!I11,1)</f>
        <v>0</v>
      </c>
      <c r="L11" s="4">
        <f>IF(JUN!I11&lt;JUN!V11,MIN(JUN!V11-JUN!I11,JUN!K11),0)</f>
        <v>0</v>
      </c>
      <c r="M11" s="4">
        <f>JUN!K11-JUN!L11</f>
        <v>0</v>
      </c>
      <c r="N11" s="4">
        <f>JUN!K11-JUN!L11</f>
        <v>0</v>
      </c>
      <c r="O11" s="4">
        <v>0</v>
      </c>
      <c r="P11" s="4">
        <v>0</v>
      </c>
      <c r="Q11" s="9"/>
      <c r="R11" s="9"/>
      <c r="S11" s="9"/>
      <c r="V11" s="2">
        <f>_xlfn.XLOOKUP(JUN!A:A,'SR-SS'!A:A,'SR-SS'!C:C)+TIME(0,30,0)</f>
        <v>0.840277777777778</v>
      </c>
      <c r="W11" s="2">
        <f>_xlfn.XLOOKUP(JUN!A:A,'SR-SS'!A:A,'SR-SS'!B:B)-TIME(0,30,0)</f>
        <v>0.1875</v>
      </c>
    </row>
    <row r="12" spans="1:23">
      <c r="A12" s="6">
        <v>45819</v>
      </c>
      <c r="I12" s="7"/>
      <c r="J12" s="7"/>
      <c r="K12" s="4">
        <f>MOD(JUN!J12-JUN!I12,1)</f>
        <v>0</v>
      </c>
      <c r="L12" s="4">
        <f>IF(JUN!I12&lt;JUN!V12,MIN(JUN!V12-JUN!I12,JUN!K12),0)</f>
        <v>0</v>
      </c>
      <c r="M12" s="4">
        <f>JUN!K12-JUN!L12</f>
        <v>0</v>
      </c>
      <c r="N12" s="4">
        <f>JUN!K12-JUN!L12</f>
        <v>0</v>
      </c>
      <c r="O12" s="4">
        <v>0</v>
      </c>
      <c r="P12" s="4">
        <v>0</v>
      </c>
      <c r="Q12" s="9"/>
      <c r="R12" s="9"/>
      <c r="S12" s="9"/>
      <c r="T12" s="10"/>
      <c r="V12" s="2">
        <f>_xlfn.XLOOKUP(JUN!A:A,'SR-SS'!A:A,'SR-SS'!C:C)+TIME(0,30,0)</f>
        <v>0.840277777777778</v>
      </c>
      <c r="W12" s="2">
        <f>_xlfn.XLOOKUP(JUN!A:A,'SR-SS'!A:A,'SR-SS'!B:B)-TIME(0,30,0)</f>
        <v>0.1875</v>
      </c>
    </row>
    <row r="13" spans="1:23">
      <c r="A13" s="6">
        <v>45820</v>
      </c>
      <c r="K13" s="4">
        <f>MOD(JUN!J13-JUN!I13,1)</f>
        <v>0</v>
      </c>
      <c r="L13" s="4">
        <f>IF(JUN!I13&lt;JUN!V13,MIN(JUN!V13-JUN!I13,JUN!K13),0)</f>
        <v>0</v>
      </c>
      <c r="M13" s="4">
        <f>JUN!K13-JUN!L13</f>
        <v>0</v>
      </c>
      <c r="N13" s="4">
        <f>JUN!K13-JUN!L13</f>
        <v>0</v>
      </c>
      <c r="O13" s="4">
        <v>0</v>
      </c>
      <c r="P13" s="4">
        <v>0</v>
      </c>
      <c r="Q13" s="9"/>
      <c r="R13" s="9"/>
      <c r="S13" s="9"/>
      <c r="V13" s="2">
        <f>_xlfn.XLOOKUP(JUN!A:A,'SR-SS'!A:A,'SR-SS'!C:C)+TIME(0,30,0)</f>
        <v>0.840972222222222</v>
      </c>
      <c r="W13" s="2">
        <f>_xlfn.XLOOKUP(JUN!A:A,'SR-SS'!A:A,'SR-SS'!B:B)-TIME(0,30,0)</f>
        <v>0.1875</v>
      </c>
    </row>
    <row r="14" spans="1:23">
      <c r="A14" s="6">
        <v>45821</v>
      </c>
      <c r="K14" s="4">
        <f>MOD(JUN!J14-JUN!I14,1)</f>
        <v>0</v>
      </c>
      <c r="L14" s="4">
        <f>IF(JUN!I14&lt;JUN!V14,MIN(JUN!V14-JUN!I14,JUN!K14),0)</f>
        <v>0</v>
      </c>
      <c r="M14" s="4">
        <f>JUN!K14-JUN!L14</f>
        <v>0</v>
      </c>
      <c r="N14" s="4">
        <f>JUN!K14-JUN!L14</f>
        <v>0</v>
      </c>
      <c r="O14" s="4">
        <v>0</v>
      </c>
      <c r="P14" s="4">
        <v>0</v>
      </c>
      <c r="Q14" s="9"/>
      <c r="R14" s="9"/>
      <c r="S14" s="9"/>
      <c r="V14" s="2">
        <f>_xlfn.XLOOKUP(JUN!A:A,'SR-SS'!A:A,'SR-SS'!C:C)+TIME(0,30,0)</f>
        <v>0.840972222222222</v>
      </c>
      <c r="W14" s="2">
        <f>_xlfn.XLOOKUP(JUN!A:A,'SR-SS'!A:A,'SR-SS'!B:B)-TIME(0,30,0)</f>
        <v>0.1875</v>
      </c>
    </row>
    <row r="15" spans="1:23">
      <c r="A15" s="6">
        <v>45822</v>
      </c>
      <c r="K15" s="4">
        <f>MOD(JUN!J15-JUN!I15,1)</f>
        <v>0</v>
      </c>
      <c r="L15" s="4">
        <f>IF(JUN!I15&lt;JUN!V15,MIN(JUN!V15-JUN!I15,JUN!K15),0)</f>
        <v>0</v>
      </c>
      <c r="M15" s="4">
        <f>JUN!K15-JUN!L15</f>
        <v>0</v>
      </c>
      <c r="N15" s="4">
        <f>JUN!K15-JUN!L15</f>
        <v>0</v>
      </c>
      <c r="O15" s="4">
        <v>0</v>
      </c>
      <c r="P15" s="4">
        <v>0</v>
      </c>
      <c r="Q15" s="9"/>
      <c r="R15" s="9"/>
      <c r="S15" s="9"/>
      <c r="V15" s="2">
        <f>_xlfn.XLOOKUP(JUN!A:A,'SR-SS'!A:A,'SR-SS'!C:C)+TIME(0,30,0)</f>
        <v>0.841666666666667</v>
      </c>
      <c r="W15" s="2">
        <f>_xlfn.XLOOKUP(JUN!A:A,'SR-SS'!A:A,'SR-SS'!B:B)-TIME(0,30,0)</f>
        <v>0.1875</v>
      </c>
    </row>
    <row r="16" spans="1:23">
      <c r="A16" s="6">
        <v>45823</v>
      </c>
      <c r="K16" s="4">
        <f>MOD(JUN!J16-JUN!I16,1)</f>
        <v>0</v>
      </c>
      <c r="L16" s="4">
        <f>IF(JUN!I16&lt;JUN!V16,MIN(JUN!V16-JUN!I16,JUN!K16),0)</f>
        <v>0</v>
      </c>
      <c r="M16" s="4">
        <f>JUN!K16-JUN!L16</f>
        <v>0</v>
      </c>
      <c r="N16" s="4">
        <f>JUN!K16-JUN!L16</f>
        <v>0</v>
      </c>
      <c r="O16" s="4">
        <v>0</v>
      </c>
      <c r="P16" s="4">
        <v>0</v>
      </c>
      <c r="Q16" s="9"/>
      <c r="R16" s="9"/>
      <c r="S16" s="9"/>
      <c r="V16" s="2">
        <f>_xlfn.XLOOKUP(JUN!A:A,'SR-SS'!A:A,'SR-SS'!C:C)+TIME(0,30,0)</f>
        <v>0.841666666666667</v>
      </c>
      <c r="W16" s="2">
        <f>_xlfn.XLOOKUP(JUN!A:A,'SR-SS'!A:A,'SR-SS'!B:B)-TIME(0,30,0)</f>
        <v>0.1875</v>
      </c>
    </row>
    <row r="17" spans="1:23">
      <c r="A17" s="6">
        <v>45824</v>
      </c>
      <c r="K17" s="4">
        <f>MOD(JUN!J17-JUN!I17,1)</f>
        <v>0</v>
      </c>
      <c r="L17" s="4">
        <f>IF(JUN!I17&lt;JUN!V17,MIN(JUN!V17-JUN!I17,JUN!K17),0)</f>
        <v>0</v>
      </c>
      <c r="M17" s="4">
        <f>JUN!K17-JUN!L17</f>
        <v>0</v>
      </c>
      <c r="N17" s="4">
        <f>JUN!K17-JUN!L17</f>
        <v>0</v>
      </c>
      <c r="O17" s="4">
        <v>0</v>
      </c>
      <c r="P17" s="4">
        <v>0</v>
      </c>
      <c r="Q17" s="9"/>
      <c r="R17" s="9"/>
      <c r="S17" s="9"/>
      <c r="V17" s="2">
        <f>_xlfn.XLOOKUP(JUN!A:A,'SR-SS'!A:A,'SR-SS'!C:C)+TIME(0,30,0)</f>
        <v>0.841666666666667</v>
      </c>
      <c r="W17" s="2">
        <f>_xlfn.XLOOKUP(JUN!A:A,'SR-SS'!A:A,'SR-SS'!B:B)-TIME(0,30,0)</f>
        <v>0.1875</v>
      </c>
    </row>
    <row r="18" spans="1:23">
      <c r="A18" s="6">
        <v>45825</v>
      </c>
      <c r="K18" s="4">
        <f>MOD(JUN!J18-JUN!I18,1)</f>
        <v>0</v>
      </c>
      <c r="L18" s="4">
        <f>IF(JUN!I18&lt;JUN!V18,MIN(JUN!V18-JUN!I18,JUN!K18),0)</f>
        <v>0</v>
      </c>
      <c r="M18" s="4">
        <f>JUN!K18-JUN!L18</f>
        <v>0</v>
      </c>
      <c r="N18" s="4">
        <f>JUN!K18-JUN!L18</f>
        <v>0</v>
      </c>
      <c r="O18" s="4">
        <v>0</v>
      </c>
      <c r="P18" s="4">
        <v>0</v>
      </c>
      <c r="Q18" s="9"/>
      <c r="R18" s="9"/>
      <c r="S18" s="9"/>
      <c r="V18" s="2">
        <f>_xlfn.XLOOKUP(JUN!A:A,'SR-SS'!A:A,'SR-SS'!C:C)+TIME(0,30,0)</f>
        <v>0.842361111111111</v>
      </c>
      <c r="W18" s="2">
        <f>_xlfn.XLOOKUP(JUN!A:A,'SR-SS'!A:A,'SR-SS'!B:B)-TIME(0,30,0)</f>
        <v>0.1875</v>
      </c>
    </row>
    <row r="19" spans="1:23">
      <c r="A19" s="6">
        <v>45826</v>
      </c>
      <c r="K19" s="4">
        <f>MOD(JUN!J19-JUN!I19,1)</f>
        <v>0</v>
      </c>
      <c r="L19" s="4">
        <f>IF(JUN!I19&lt;JUN!V19,MIN(JUN!V19-JUN!I19,JUN!K19),0)</f>
        <v>0</v>
      </c>
      <c r="M19" s="4">
        <f>JUN!K19-JUN!L19</f>
        <v>0</v>
      </c>
      <c r="N19" s="4">
        <f>JUN!K19-JUN!L19</f>
        <v>0</v>
      </c>
      <c r="O19" s="4">
        <v>0</v>
      </c>
      <c r="P19" s="4">
        <v>0</v>
      </c>
      <c r="Q19" s="9"/>
      <c r="R19" s="9"/>
      <c r="S19" s="9"/>
      <c r="V19" s="2">
        <f>_xlfn.XLOOKUP(JUN!A:A,'SR-SS'!A:A,'SR-SS'!C:C)+TIME(0,30,0)</f>
        <v>0.842361111111111</v>
      </c>
      <c r="W19" s="2">
        <f>_xlfn.XLOOKUP(JUN!A:A,'SR-SS'!A:A,'SR-SS'!B:B)-TIME(0,30,0)</f>
        <v>0.1875</v>
      </c>
    </row>
    <row r="20" spans="1:23">
      <c r="A20" s="6">
        <v>45827</v>
      </c>
      <c r="K20" s="4">
        <f>MOD(JUN!J20-JUN!I20,1)</f>
        <v>0</v>
      </c>
      <c r="L20" s="4">
        <f>IF(JUN!I20&lt;JUN!V20,MIN(JUN!V20-JUN!I20,JUN!K20),0)</f>
        <v>0</v>
      </c>
      <c r="M20" s="4">
        <f>JUN!K20-JUN!L20</f>
        <v>0</v>
      </c>
      <c r="N20" s="4">
        <f>JUN!K20-JUN!L20</f>
        <v>0</v>
      </c>
      <c r="O20" s="4">
        <v>0</v>
      </c>
      <c r="P20" s="4">
        <v>0</v>
      </c>
      <c r="Q20" s="9"/>
      <c r="R20" s="9"/>
      <c r="S20" s="9"/>
      <c r="V20" s="2">
        <f>_xlfn.XLOOKUP(JUN!A:A,'SR-SS'!A:A,'SR-SS'!C:C)+TIME(0,30,0)</f>
        <v>0.842361111111111</v>
      </c>
      <c r="W20" s="2">
        <f>_xlfn.XLOOKUP(JUN!A:A,'SR-SS'!A:A,'SR-SS'!B:B)-TIME(0,30,0)</f>
        <v>0.1875</v>
      </c>
    </row>
    <row r="21" spans="1:23">
      <c r="A21" s="6">
        <v>45828</v>
      </c>
      <c r="K21" s="4">
        <f>MOD(JUN!J21-JUN!I21,1)</f>
        <v>0</v>
      </c>
      <c r="L21" s="4">
        <f>IF(JUN!I21&lt;JUN!V21,MIN(JUN!V21-JUN!I21,JUN!K21),0)</f>
        <v>0</v>
      </c>
      <c r="M21" s="4">
        <f>JUN!K21-JUN!L21</f>
        <v>0</v>
      </c>
      <c r="N21" s="4">
        <f>JUN!K21-JUN!L21</f>
        <v>0</v>
      </c>
      <c r="O21" s="4">
        <v>0</v>
      </c>
      <c r="P21" s="4">
        <v>0</v>
      </c>
      <c r="Q21" s="9"/>
      <c r="R21" s="9"/>
      <c r="S21" s="9"/>
      <c r="V21" s="2">
        <f>_xlfn.XLOOKUP(JUN!A:A,'SR-SS'!A:A,'SR-SS'!C:C)+TIME(0,30,0)</f>
        <v>0.842361111111111</v>
      </c>
      <c r="W21" s="2">
        <f>_xlfn.XLOOKUP(JUN!A:A,'SR-SS'!A:A,'SR-SS'!B:B)-TIME(0,30,0)</f>
        <v>0.1875</v>
      </c>
    </row>
    <row r="22" spans="1:23">
      <c r="A22" s="6">
        <v>45829</v>
      </c>
      <c r="K22" s="4">
        <f>MOD(JUN!J22-JUN!I22,1)</f>
        <v>0</v>
      </c>
      <c r="L22" s="4">
        <f>IF(JUN!I22&lt;JUN!V22,MIN(JUN!V22-JUN!I22,JUN!K22),0)</f>
        <v>0</v>
      </c>
      <c r="M22" s="4">
        <f>JUN!K22-JUN!L22</f>
        <v>0</v>
      </c>
      <c r="N22" s="4">
        <f>JUN!K22-JUN!L22</f>
        <v>0</v>
      </c>
      <c r="O22" s="4">
        <v>0</v>
      </c>
      <c r="P22" s="4">
        <v>0</v>
      </c>
      <c r="Q22" s="9"/>
      <c r="R22" s="9"/>
      <c r="S22" s="9"/>
      <c r="V22" s="2">
        <f>_xlfn.XLOOKUP(JUN!A:A,'SR-SS'!A:A,'SR-SS'!C:C)+TIME(0,30,0)</f>
        <v>0.843055555555556</v>
      </c>
      <c r="W22" s="2">
        <f>_xlfn.XLOOKUP(JUN!A:A,'SR-SS'!A:A,'SR-SS'!B:B)-TIME(0,30,0)</f>
        <v>0.1875</v>
      </c>
    </row>
    <row r="23" spans="1:23">
      <c r="A23" s="6">
        <v>45830</v>
      </c>
      <c r="K23" s="4">
        <f>MOD(JUN!J23-JUN!I23,1)</f>
        <v>0</v>
      </c>
      <c r="L23" s="4">
        <f>IF(JUN!I23&lt;JUN!V23,MIN(JUN!V23-JUN!I23,JUN!K23),0)</f>
        <v>0</v>
      </c>
      <c r="M23" s="4">
        <f>JUN!K23-JUN!L23</f>
        <v>0</v>
      </c>
      <c r="N23" s="4">
        <f>JUN!K23-JUN!L23</f>
        <v>0</v>
      </c>
      <c r="O23" s="4">
        <v>0</v>
      </c>
      <c r="P23" s="4">
        <v>0</v>
      </c>
      <c r="Q23" s="9"/>
      <c r="R23" s="9"/>
      <c r="S23" s="9"/>
      <c r="V23" s="2">
        <f>_xlfn.XLOOKUP(JUN!A:A,'SR-SS'!A:A,'SR-SS'!C:C)+TIME(0,30,0)</f>
        <v>0.843055555555556</v>
      </c>
      <c r="W23" s="2">
        <f>_xlfn.XLOOKUP(JUN!A:A,'SR-SS'!A:A,'SR-SS'!B:B)-TIME(0,30,0)</f>
        <v>0.188194444444444</v>
      </c>
    </row>
    <row r="24" spans="1:23">
      <c r="A24" s="6">
        <v>45831</v>
      </c>
      <c r="K24" s="4">
        <f>MOD(JUN!J24-JUN!I24,1)</f>
        <v>0</v>
      </c>
      <c r="L24" s="4">
        <f>IF(JUN!I24&lt;JUN!V24,MIN(JUN!V24-JUN!I24,JUN!K24),0)</f>
        <v>0</v>
      </c>
      <c r="M24" s="4">
        <f>JUN!K24-JUN!L24</f>
        <v>0</v>
      </c>
      <c r="N24" s="4">
        <f>JUN!K24-JUN!L24</f>
        <v>0</v>
      </c>
      <c r="O24" s="4">
        <v>0</v>
      </c>
      <c r="P24" s="4">
        <v>0</v>
      </c>
      <c r="Q24" s="9"/>
      <c r="R24" s="9"/>
      <c r="S24" s="9"/>
      <c r="V24" s="2">
        <f>_xlfn.XLOOKUP(JUN!A:A,'SR-SS'!A:A,'SR-SS'!C:C)+TIME(0,30,0)</f>
        <v>0.843055555555556</v>
      </c>
      <c r="W24" s="2">
        <f>_xlfn.XLOOKUP(JUN!A:A,'SR-SS'!A:A,'SR-SS'!B:B)-TIME(0,30,0)</f>
        <v>0.188194444444444</v>
      </c>
    </row>
    <row r="25" spans="1:23">
      <c r="A25" s="6">
        <v>45832</v>
      </c>
      <c r="K25" s="4">
        <f>MOD(JUN!J25-JUN!I25,1)</f>
        <v>0</v>
      </c>
      <c r="L25" s="4">
        <f>IF(JUN!I25&lt;JUN!V25,MIN(JUN!V25-JUN!I25,JUN!K25),0)</f>
        <v>0</v>
      </c>
      <c r="M25" s="4">
        <f>JUN!K25-JUN!L25</f>
        <v>0</v>
      </c>
      <c r="N25" s="4">
        <f>JUN!K25-JUN!L25</f>
        <v>0</v>
      </c>
      <c r="O25" s="4">
        <v>0</v>
      </c>
      <c r="P25" s="4">
        <v>0</v>
      </c>
      <c r="Q25" s="9"/>
      <c r="R25" s="9"/>
      <c r="S25" s="9"/>
      <c r="V25" s="2">
        <f>_xlfn.XLOOKUP(JUN!A:A,'SR-SS'!A:A,'SR-SS'!C:C)+TIME(0,30,0)</f>
        <v>0.843055555555556</v>
      </c>
      <c r="W25" s="2">
        <f>_xlfn.XLOOKUP(JUN!A:A,'SR-SS'!A:A,'SR-SS'!B:B)-TIME(0,30,0)</f>
        <v>0.188194444444444</v>
      </c>
    </row>
    <row r="26" spans="1:23">
      <c r="A26" s="6">
        <v>45833</v>
      </c>
      <c r="K26" s="4">
        <f>MOD(JUN!J26-JUN!I26,1)</f>
        <v>0</v>
      </c>
      <c r="L26" s="4">
        <f>IF(JUN!I26&lt;JUN!V26,MIN(JUN!V26-JUN!I26,JUN!K26),0)</f>
        <v>0</v>
      </c>
      <c r="M26" s="4">
        <f>JUN!K26-JUN!L26</f>
        <v>0</v>
      </c>
      <c r="N26" s="4">
        <f>JUN!K26-JUN!L26</f>
        <v>0</v>
      </c>
      <c r="O26" s="4">
        <v>0</v>
      </c>
      <c r="P26" s="4">
        <v>0</v>
      </c>
      <c r="Q26" s="9"/>
      <c r="R26" s="9"/>
      <c r="S26" s="9"/>
      <c r="V26" s="2">
        <f>_xlfn.XLOOKUP(JUN!A:A,'SR-SS'!A:A,'SR-SS'!C:C)+TIME(0,30,0)</f>
        <v>0.843055555555556</v>
      </c>
      <c r="W26" s="2">
        <f>_xlfn.XLOOKUP(JUN!A:A,'SR-SS'!A:A,'SR-SS'!B:B)-TIME(0,30,0)</f>
        <v>0.188194444444444</v>
      </c>
    </row>
    <row r="27" spans="1:23">
      <c r="A27" s="6">
        <v>45834</v>
      </c>
      <c r="K27" s="4">
        <f>MOD(JUN!J27-JUN!I27,1)</f>
        <v>0</v>
      </c>
      <c r="L27" s="4">
        <f>IF(JUN!I27&lt;JUN!V27,MIN(JUN!V27-JUN!I27,JUN!K27),0)</f>
        <v>0</v>
      </c>
      <c r="M27" s="4">
        <f>JUN!K27-JUN!L27</f>
        <v>0</v>
      </c>
      <c r="N27" s="4">
        <f>JUN!K27-JUN!L27</f>
        <v>0</v>
      </c>
      <c r="O27" s="4">
        <v>0</v>
      </c>
      <c r="P27" s="4">
        <v>0</v>
      </c>
      <c r="Q27" s="9"/>
      <c r="R27" s="9"/>
      <c r="S27" s="9"/>
      <c r="V27" s="2">
        <f>_xlfn.XLOOKUP(JUN!A:A,'SR-SS'!A:A,'SR-SS'!C:C)+TIME(0,30,0)</f>
        <v>0.843055555555556</v>
      </c>
      <c r="W27" s="2">
        <f>_xlfn.XLOOKUP(JUN!A:A,'SR-SS'!A:A,'SR-SS'!B:B)-TIME(0,30,0)</f>
        <v>0.188888888888889</v>
      </c>
    </row>
    <row r="28" spans="1:23">
      <c r="A28" s="6">
        <v>45835</v>
      </c>
      <c r="K28" s="4">
        <f>MOD(JUN!J28-JUN!I28,1)</f>
        <v>0</v>
      </c>
      <c r="L28" s="4">
        <f>IF(JUN!I28&lt;JUN!V28,MIN(JUN!V28-JUN!I28,JUN!K28),0)</f>
        <v>0</v>
      </c>
      <c r="M28" s="4">
        <f>JUN!K28-JUN!L28</f>
        <v>0</v>
      </c>
      <c r="N28" s="4">
        <f>JUN!K28-JUN!L28</f>
        <v>0</v>
      </c>
      <c r="O28" s="4">
        <v>0</v>
      </c>
      <c r="P28" s="4">
        <v>0</v>
      </c>
      <c r="Q28" s="9"/>
      <c r="R28" s="9"/>
      <c r="S28" s="9"/>
      <c r="V28" s="2">
        <f>_xlfn.XLOOKUP(JUN!A:A,'SR-SS'!A:A,'SR-SS'!C:C)+TIME(0,30,0)</f>
        <v>0.843055555555556</v>
      </c>
      <c r="W28" s="2">
        <f>_xlfn.XLOOKUP(JUN!A:A,'SR-SS'!A:A,'SR-SS'!B:B)-TIME(0,30,0)</f>
        <v>0.188888888888889</v>
      </c>
    </row>
    <row r="29" spans="1:23">
      <c r="A29" s="6">
        <v>45836</v>
      </c>
      <c r="K29" s="4">
        <f>MOD(JUN!J29-JUN!I29,1)</f>
        <v>0</v>
      </c>
      <c r="L29" s="4">
        <f>IF(JUN!I29&lt;JUN!V29,MIN(JUN!V29-JUN!I29,JUN!K29),0)</f>
        <v>0</v>
      </c>
      <c r="M29" s="4">
        <f>JUN!K29-JUN!L29</f>
        <v>0</v>
      </c>
      <c r="N29" s="4">
        <f>JUN!K29-JUN!L29</f>
        <v>0</v>
      </c>
      <c r="O29" s="4">
        <v>0</v>
      </c>
      <c r="P29" s="4">
        <v>0</v>
      </c>
      <c r="Q29" s="9"/>
      <c r="R29" s="9"/>
      <c r="S29" s="9"/>
      <c r="V29" s="2">
        <f>_xlfn.XLOOKUP(JUN!A:A,'SR-SS'!A:A,'SR-SS'!C:C)+TIME(0,30,0)</f>
        <v>0.843055555555556</v>
      </c>
      <c r="W29" s="2">
        <f>_xlfn.XLOOKUP(JUN!A:A,'SR-SS'!A:A,'SR-SS'!B:B)-TIME(0,30,0)</f>
        <v>0.189583333333333</v>
      </c>
    </row>
    <row r="30" spans="1:23">
      <c r="A30" s="6">
        <v>45837</v>
      </c>
      <c r="K30" s="4">
        <f>MOD(JUN!J30-JUN!I30,1)</f>
        <v>0</v>
      </c>
      <c r="L30" s="4">
        <f>IF(JUN!I30&lt;JUN!V30,MIN(JUN!V30-JUN!I30,JUN!K30),0)</f>
        <v>0</v>
      </c>
      <c r="M30" s="4">
        <f>JUN!K30-JUN!L30</f>
        <v>0</v>
      </c>
      <c r="N30" s="4">
        <f>JUN!K30-JUN!L30</f>
        <v>0</v>
      </c>
      <c r="O30" s="4">
        <v>0</v>
      </c>
      <c r="P30" s="4">
        <v>0</v>
      </c>
      <c r="Q30" s="9"/>
      <c r="R30" s="9"/>
      <c r="S30" s="9"/>
      <c r="V30" s="2">
        <f>_xlfn.XLOOKUP(JUN!A:A,'SR-SS'!A:A,'SR-SS'!C:C)+TIME(0,30,0)</f>
        <v>0.843055555555556</v>
      </c>
      <c r="W30" s="2">
        <f>_xlfn.XLOOKUP(JUN!A:A,'SR-SS'!A:A,'SR-SS'!B:B)-TIME(0,30,0)</f>
        <v>0.189583333333333</v>
      </c>
    </row>
    <row r="31" spans="1:23">
      <c r="A31" s="6">
        <v>45838</v>
      </c>
      <c r="K31" s="4">
        <f>MOD(JUN!J31-JUN!I31,1)</f>
        <v>0</v>
      </c>
      <c r="L31" s="4">
        <f>IF(JUN!I31&lt;JUN!V31,MIN(JUN!V31-JUN!I31,JUN!K31),0)</f>
        <v>0</v>
      </c>
      <c r="M31" s="4">
        <f>JUN!K31-JUN!L31</f>
        <v>0</v>
      </c>
      <c r="N31" s="4">
        <f>JUN!K31-JUN!L31</f>
        <v>0</v>
      </c>
      <c r="O31" s="4">
        <v>0</v>
      </c>
      <c r="P31" s="4">
        <v>0</v>
      </c>
      <c r="Q31" s="9"/>
      <c r="R31" s="9"/>
      <c r="S31" s="9"/>
      <c r="V31" s="2">
        <f>_xlfn.XLOOKUP(JUN!A:A,'SR-SS'!A:A,'SR-SS'!C:C)+TIME(0,30,0)</f>
        <v>0.843055555555556</v>
      </c>
      <c r="W31" s="2">
        <f>_xlfn.XLOOKUP(JUN!A:A,'SR-SS'!A:A,'SR-SS'!B:B)-TIME(0,30,0)</f>
        <v>0.189583333333333</v>
      </c>
    </row>
    <row r="32" spans="1:19">
      <c r="A32" s="6" t="s">
        <v>39</v>
      </c>
      <c r="K32" s="7">
        <f>SUM(Table10[Flight Duration])</f>
        <v>0</v>
      </c>
      <c r="L32" s="4">
        <f>SUM(Table10[Day Duration])</f>
        <v>0</v>
      </c>
      <c r="M32" s="4">
        <f>SUM(Table10[Night Duration])</f>
        <v>0</v>
      </c>
      <c r="N32" s="4">
        <f>SUM(Table10[NVG Duration])</f>
        <v>0</v>
      </c>
      <c r="O32" s="4">
        <f>SUM(Table10[Simulated IFR])</f>
        <v>0</v>
      </c>
      <c r="P32" s="4">
        <f>SUM(Table10[Real IFR])</f>
        <v>0</v>
      </c>
      <c r="Q32" s="9">
        <f>SUM(Table10[Takeoffs])</f>
        <v>0</v>
      </c>
      <c r="R32" s="9">
        <f>SUM(Table10[Landings])</f>
        <v>0</v>
      </c>
      <c r="S32" s="9">
        <f>SUM(Table10[Inst. Apps])</f>
        <v>0</v>
      </c>
    </row>
    <row r="38" s="1" customFormat="1"/>
  </sheetData>
  <printOptions headings="1"/>
  <pageMargins left="0.75" right="0.75" top="1" bottom="1" header="0.5" footer="0.5"/>
  <pageSetup paperSize="9" scale="40" fitToWidth="0" fitToHeight="0" orientation="landscape" horizontalDpi="600" verticalDpi="600"/>
  <headerFooter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3"/>
  <sheetViews>
    <sheetView topLeftCell="O1" workbookViewId="0">
      <selection activeCell="I1" sqref="I$1:I$1048576"/>
    </sheetView>
  </sheetViews>
  <sheetFormatPr defaultColWidth="9" defaultRowHeight="14.25"/>
  <cols>
    <col min="1" max="1" width="10.7890625" style="6" customWidth="1"/>
    <col min="2" max="2" width="16.5546875" style="1" customWidth="1"/>
    <col min="3" max="3" width="18.375" style="1" customWidth="1"/>
    <col min="4" max="4" width="17.7265625" style="1" customWidth="1"/>
    <col min="5" max="5" width="15.90625" style="1" customWidth="1"/>
    <col min="6" max="6" width="12.796875" style="1" customWidth="1"/>
    <col min="7" max="8" width="12.421875" style="1" customWidth="1"/>
    <col min="9" max="9" width="13.578125" style="1" customWidth="1"/>
    <col min="10" max="10" width="16.03125" style="1" customWidth="1"/>
    <col min="11" max="11" width="20.1953125" style="1" customWidth="1"/>
    <col min="12" max="12" width="18.6328125" style="1" customWidth="1"/>
    <col min="13" max="13" width="20.1953125" style="1" customWidth="1"/>
    <col min="14" max="14" width="19.28125" style="1" customWidth="1"/>
    <col min="15" max="15" width="18.890625" style="1" customWidth="1"/>
    <col min="16" max="16" width="13.8515625" style="1" customWidth="1"/>
    <col min="17" max="18" width="10.0078125" style="1" customWidth="1"/>
    <col min="19" max="19" width="10.140625" style="1" customWidth="1"/>
    <col min="20" max="20" width="35.8515625" style="1" customWidth="1"/>
    <col min="21" max="21" width="9" style="1"/>
    <col min="22" max="22" width="10.2734375"/>
    <col min="23" max="23" width="10.2734375" style="4"/>
    <col min="24" max="16384" width="9" style="1"/>
  </cols>
  <sheetData>
    <row r="1" s="5" customFormat="1" spans="1:23">
      <c r="A1" s="5" t="s">
        <v>0</v>
      </c>
      <c r="B1" s="5" t="s">
        <v>1</v>
      </c>
      <c r="C1" s="5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5" t="s">
        <v>10</v>
      </c>
      <c r="L1" s="5" t="s">
        <v>11</v>
      </c>
      <c r="M1" s="5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" t="s">
        <v>18</v>
      </c>
      <c r="T1" s="1" t="s">
        <v>19</v>
      </c>
      <c r="V1" s="11" t="s">
        <v>20</v>
      </c>
      <c r="W1" s="11" t="s">
        <v>21</v>
      </c>
    </row>
    <row r="2" spans="1:23">
      <c r="A2" s="6">
        <v>45839</v>
      </c>
      <c r="K2" s="4">
        <f>MOD(JUL!J2-JUL!I2,1)</f>
        <v>0</v>
      </c>
      <c r="L2" s="4">
        <f>IF(JUL!I2&lt;JUL!V2,MIN(JUL!V2-JUL!I2,JUL!K2),0)</f>
        <v>0</v>
      </c>
      <c r="M2" s="4">
        <f>JUL!K2-JUL!L2</f>
        <v>0</v>
      </c>
      <c r="N2" s="4">
        <f>JUL!K2-JUL!L2</f>
        <v>0</v>
      </c>
      <c r="O2" s="4">
        <v>0</v>
      </c>
      <c r="P2" s="4">
        <v>0</v>
      </c>
      <c r="Q2" s="9"/>
      <c r="R2" s="9"/>
      <c r="S2" s="9"/>
      <c r="V2" s="2">
        <f>_xlfn.XLOOKUP(JUL!A:A,'SR-SS'!A:A,'SR-SS'!C:C)+TIME(0,30,0)</f>
        <v>0.843055555555556</v>
      </c>
      <c r="W2" s="2">
        <f>_xlfn.XLOOKUP(JUL!A:A,'SR-SS'!A:A,'SR-SS'!B:B)-TIME(0,30,0)</f>
        <v>0.190277777777778</v>
      </c>
    </row>
    <row r="3" spans="1:23">
      <c r="A3" s="6">
        <v>45840</v>
      </c>
      <c r="K3" s="4">
        <f>MOD(JUL!J3-JUL!I3,1)</f>
        <v>0</v>
      </c>
      <c r="L3" s="4">
        <f>IF(JUL!I3&lt;JUL!V3,MIN(JUL!V3-JUL!I3,JUL!K3),0)</f>
        <v>0</v>
      </c>
      <c r="M3" s="4">
        <f>JUL!K3-JUL!L3</f>
        <v>0</v>
      </c>
      <c r="N3" s="4">
        <f>JUL!K3-JUL!L3</f>
        <v>0</v>
      </c>
      <c r="O3" s="4">
        <v>0</v>
      </c>
      <c r="P3" s="4">
        <v>0</v>
      </c>
      <c r="Q3" s="9"/>
      <c r="R3" s="9"/>
      <c r="S3" s="9"/>
      <c r="V3" s="2">
        <f>_xlfn.XLOOKUP(JUL!A:A,'SR-SS'!A:A,'SR-SS'!C:C)+TIME(0,30,0)</f>
        <v>0.843055555555556</v>
      </c>
      <c r="W3" s="2">
        <f>_xlfn.XLOOKUP(JUL!A:A,'SR-SS'!A:A,'SR-SS'!B:B)-TIME(0,30,0)</f>
        <v>0.190277777777778</v>
      </c>
    </row>
    <row r="4" spans="1:23">
      <c r="A4" s="6">
        <v>45841</v>
      </c>
      <c r="K4" s="4">
        <f>MOD(JUL!J4-JUL!I4,1)</f>
        <v>0</v>
      </c>
      <c r="L4" s="4">
        <f>IF(JUL!I4&lt;JUL!V4,MIN(JUL!V4-JUL!I4,JUL!K4),0)</f>
        <v>0</v>
      </c>
      <c r="M4" s="4">
        <f>JUL!K4-JUL!L4</f>
        <v>0</v>
      </c>
      <c r="N4" s="4">
        <f>JUL!K4-JUL!L4</f>
        <v>0</v>
      </c>
      <c r="O4" s="4">
        <v>0</v>
      </c>
      <c r="P4" s="4">
        <v>0</v>
      </c>
      <c r="Q4" s="9"/>
      <c r="R4" s="9"/>
      <c r="S4" s="9"/>
      <c r="V4" s="2">
        <f>_xlfn.XLOOKUP(JUL!A:A,'SR-SS'!A:A,'SR-SS'!C:C)+TIME(0,30,0)</f>
        <v>0.843055555555556</v>
      </c>
      <c r="W4" s="2">
        <f>_xlfn.XLOOKUP(JUL!A:A,'SR-SS'!A:A,'SR-SS'!B:B)-TIME(0,30,0)</f>
        <v>0.190972222222222</v>
      </c>
    </row>
    <row r="5" spans="1:23">
      <c r="A5" s="6">
        <v>45842</v>
      </c>
      <c r="K5" s="4">
        <f>MOD(JUL!J5-JUL!I5,1)</f>
        <v>0</v>
      </c>
      <c r="L5" s="4">
        <f>IF(JUL!I5&lt;JUL!V5,MIN(JUL!V5-JUL!I5,JUL!K5),0)</f>
        <v>0</v>
      </c>
      <c r="M5" s="4">
        <f>JUL!K5-JUL!L5</f>
        <v>0</v>
      </c>
      <c r="N5" s="4">
        <f>JUL!K5-JUL!L5</f>
        <v>0</v>
      </c>
      <c r="O5" s="4">
        <v>0</v>
      </c>
      <c r="P5" s="4">
        <v>0</v>
      </c>
      <c r="Q5" s="9"/>
      <c r="R5" s="9"/>
      <c r="S5" s="9"/>
      <c r="V5" s="2">
        <f>_xlfn.XLOOKUP(JUL!A:A,'SR-SS'!A:A,'SR-SS'!C:C)+TIME(0,30,0)</f>
        <v>0.843055555555556</v>
      </c>
      <c r="W5" s="2">
        <f>_xlfn.XLOOKUP(JUL!A:A,'SR-SS'!A:A,'SR-SS'!B:B)-TIME(0,30,0)</f>
        <v>0.190972222222222</v>
      </c>
    </row>
    <row r="6" spans="1:23">
      <c r="A6" s="6">
        <v>45843</v>
      </c>
      <c r="K6" s="4">
        <f>MOD(JUL!J6-JUL!I6,1)</f>
        <v>0</v>
      </c>
      <c r="L6" s="4">
        <f>IF(JUL!I6&lt;JUL!V6,MIN(JUL!V6-JUL!I6,JUL!K6),0)</f>
        <v>0</v>
      </c>
      <c r="M6" s="4">
        <f>JUL!K6-JUL!L6</f>
        <v>0</v>
      </c>
      <c r="N6" s="4">
        <f>JUL!K6-JUL!L6</f>
        <v>0</v>
      </c>
      <c r="O6" s="4">
        <v>0</v>
      </c>
      <c r="P6" s="4">
        <v>0</v>
      </c>
      <c r="Q6" s="9"/>
      <c r="R6" s="9"/>
      <c r="S6" s="9"/>
      <c r="V6" s="2">
        <f>_xlfn.XLOOKUP(JUL!A:A,'SR-SS'!A:A,'SR-SS'!C:C)+TIME(0,30,0)</f>
        <v>0.843055555555556</v>
      </c>
      <c r="W6" s="2">
        <f>_xlfn.XLOOKUP(JUL!A:A,'SR-SS'!A:A,'SR-SS'!B:B)-TIME(0,30,0)</f>
        <v>0.191666666666667</v>
      </c>
    </row>
    <row r="7" spans="1:23">
      <c r="A7" s="6">
        <v>45844</v>
      </c>
      <c r="K7" s="4">
        <f>MOD(JUL!J7-JUL!I7,1)</f>
        <v>0</v>
      </c>
      <c r="L7" s="4">
        <f>IF(JUL!I7&lt;JUL!V7,MIN(JUL!V7-JUL!I7,JUL!K7),0)</f>
        <v>0</v>
      </c>
      <c r="M7" s="4">
        <f>JUL!K7-JUL!L7</f>
        <v>0</v>
      </c>
      <c r="N7" s="4">
        <f>JUL!K7-JUL!L7</f>
        <v>0</v>
      </c>
      <c r="O7" s="4">
        <v>0</v>
      </c>
      <c r="P7" s="4">
        <v>0</v>
      </c>
      <c r="Q7" s="9"/>
      <c r="R7" s="9"/>
      <c r="S7" s="9"/>
      <c r="V7" s="2">
        <f>_xlfn.XLOOKUP(JUL!A:A,'SR-SS'!A:A,'SR-SS'!C:C)+TIME(0,30,0)</f>
        <v>0.842361111111111</v>
      </c>
      <c r="W7" s="2">
        <f>_xlfn.XLOOKUP(JUL!A:A,'SR-SS'!A:A,'SR-SS'!B:B)-TIME(0,30,0)</f>
        <v>0.191666666666667</v>
      </c>
    </row>
    <row r="8" spans="1:23">
      <c r="A8" s="6">
        <v>45845</v>
      </c>
      <c r="K8" s="4">
        <f>MOD(JUL!J8-JUL!I8,1)</f>
        <v>0</v>
      </c>
      <c r="L8" s="4">
        <f>IF(JUL!I8&lt;JUL!V8,MIN(JUL!V8-JUL!I8,JUL!K8),0)</f>
        <v>0</v>
      </c>
      <c r="M8" s="4">
        <f>JUL!K8-JUL!L8</f>
        <v>0</v>
      </c>
      <c r="N8" s="4">
        <f>JUL!K8-JUL!L8</f>
        <v>0</v>
      </c>
      <c r="O8" s="4">
        <v>0</v>
      </c>
      <c r="P8" s="4">
        <v>0</v>
      </c>
      <c r="Q8" s="9"/>
      <c r="R8" s="9"/>
      <c r="S8" s="9"/>
      <c r="V8" s="2">
        <f>_xlfn.XLOOKUP(JUL!A:A,'SR-SS'!A:A,'SR-SS'!C:C)+TIME(0,30,0)</f>
        <v>0.842361111111111</v>
      </c>
      <c r="W8" s="2">
        <f>_xlfn.XLOOKUP(JUL!A:A,'SR-SS'!A:A,'SR-SS'!B:B)-TIME(0,30,0)</f>
        <v>0.192361111111111</v>
      </c>
    </row>
    <row r="9" spans="1:23">
      <c r="A9" s="6">
        <v>45846</v>
      </c>
      <c r="K9" s="4">
        <f>MOD(JUL!J9-JUL!I9,1)</f>
        <v>0</v>
      </c>
      <c r="L9" s="4">
        <f>IF(JUL!I9&lt;JUL!V9,MIN(JUL!V9-JUL!I9,JUL!K9),0)</f>
        <v>0</v>
      </c>
      <c r="M9" s="4">
        <f>JUL!K9-JUL!L9</f>
        <v>0</v>
      </c>
      <c r="N9" s="4">
        <f>JUL!K9-JUL!L9</f>
        <v>0</v>
      </c>
      <c r="O9" s="4">
        <v>0</v>
      </c>
      <c r="P9" s="4">
        <v>0</v>
      </c>
      <c r="Q9" s="9"/>
      <c r="R9" s="9"/>
      <c r="S9" s="9"/>
      <c r="V9" s="2">
        <f>_xlfn.XLOOKUP(JUL!A:A,'SR-SS'!A:A,'SR-SS'!C:C)+TIME(0,30,0)</f>
        <v>0.842361111111111</v>
      </c>
      <c r="W9" s="2">
        <f>_xlfn.XLOOKUP(JUL!A:A,'SR-SS'!A:A,'SR-SS'!B:B)-TIME(0,30,0)</f>
        <v>0.193055555555556</v>
      </c>
    </row>
    <row r="10" spans="1:23">
      <c r="A10" s="6">
        <v>45847</v>
      </c>
      <c r="K10" s="4">
        <f>MOD(JUL!J10-JUL!I10,1)</f>
        <v>0</v>
      </c>
      <c r="L10" s="4">
        <f>IF(JUL!I10&lt;JUL!V10,MIN(JUL!V10-JUL!I10,JUL!K10),0)</f>
        <v>0</v>
      </c>
      <c r="M10" s="4">
        <f>JUL!K10-JUL!L10</f>
        <v>0</v>
      </c>
      <c r="N10" s="4">
        <f>JUL!K10-JUL!L10</f>
        <v>0</v>
      </c>
      <c r="O10" s="4">
        <v>0</v>
      </c>
      <c r="P10" s="4">
        <v>0</v>
      </c>
      <c r="Q10" s="9"/>
      <c r="R10" s="9"/>
      <c r="S10" s="9"/>
      <c r="V10" s="2">
        <f>_xlfn.XLOOKUP(JUL!A:A,'SR-SS'!A:A,'SR-SS'!C:C)+TIME(0,30,0)</f>
        <v>0.842361111111111</v>
      </c>
      <c r="W10" s="2">
        <f>_xlfn.XLOOKUP(JUL!A:A,'SR-SS'!A:A,'SR-SS'!B:B)-TIME(0,30,0)</f>
        <v>0.193055555555556</v>
      </c>
    </row>
    <row r="11" spans="1:23">
      <c r="A11" s="6">
        <v>45848</v>
      </c>
      <c r="I11" s="7"/>
      <c r="J11" s="7"/>
      <c r="K11" s="4">
        <f>MOD(JUL!J11-JUL!I11,1)</f>
        <v>0</v>
      </c>
      <c r="L11" s="4">
        <f>IF(JUL!I11&lt;JUL!V11,MIN(JUL!V11-JUL!I11,JUL!K11),0)</f>
        <v>0</v>
      </c>
      <c r="M11" s="4">
        <f>JUL!K11-JUL!L11</f>
        <v>0</v>
      </c>
      <c r="N11" s="4">
        <f>JUL!K11-JUL!L11</f>
        <v>0</v>
      </c>
      <c r="O11" s="4">
        <v>0</v>
      </c>
      <c r="P11" s="4">
        <v>0</v>
      </c>
      <c r="Q11" s="9"/>
      <c r="R11" s="9"/>
      <c r="S11" s="9"/>
      <c r="V11" s="2">
        <f>_xlfn.XLOOKUP(JUL!A:A,'SR-SS'!A:A,'SR-SS'!C:C)+TIME(0,30,0)</f>
        <v>0.841666666666667</v>
      </c>
      <c r="W11" s="2">
        <f>_xlfn.XLOOKUP(JUL!A:A,'SR-SS'!A:A,'SR-SS'!B:B)-TIME(0,30,0)</f>
        <v>0.19375</v>
      </c>
    </row>
    <row r="12" spans="1:23">
      <c r="A12" s="6">
        <v>45849</v>
      </c>
      <c r="I12" s="7"/>
      <c r="J12" s="7"/>
      <c r="K12" s="4">
        <f>MOD(JUL!J12-JUL!I12,1)</f>
        <v>0</v>
      </c>
      <c r="L12" s="4">
        <f>IF(JUL!I12&lt;JUL!V12,MIN(JUL!V12-JUL!I12,JUL!K12),0)</f>
        <v>0</v>
      </c>
      <c r="M12" s="4">
        <f>JUL!K12-JUL!L12</f>
        <v>0</v>
      </c>
      <c r="N12" s="4">
        <f>JUL!K12-JUL!L12</f>
        <v>0</v>
      </c>
      <c r="O12" s="4">
        <v>0</v>
      </c>
      <c r="P12" s="4">
        <v>0</v>
      </c>
      <c r="Q12" s="9"/>
      <c r="R12" s="9"/>
      <c r="S12" s="9"/>
      <c r="T12" s="10"/>
      <c r="V12" s="2">
        <f>_xlfn.XLOOKUP(JUL!A:A,'SR-SS'!A:A,'SR-SS'!C:C)+TIME(0,30,0)</f>
        <v>0.841666666666667</v>
      </c>
      <c r="W12" s="2">
        <f>_xlfn.XLOOKUP(JUL!A:A,'SR-SS'!A:A,'SR-SS'!B:B)-TIME(0,30,0)</f>
        <v>0.19375</v>
      </c>
    </row>
    <row r="13" spans="1:23">
      <c r="A13" s="6">
        <v>45850</v>
      </c>
      <c r="K13" s="4">
        <f>MOD(JUL!J13-JUL!I13,1)</f>
        <v>0</v>
      </c>
      <c r="L13" s="4">
        <f>IF(JUL!I13&lt;JUL!V13,MIN(JUL!V13-JUL!I13,JUL!K13),0)</f>
        <v>0</v>
      </c>
      <c r="M13" s="4">
        <f>JUL!K13-JUL!L13</f>
        <v>0</v>
      </c>
      <c r="N13" s="4">
        <f>JUL!K13-JUL!L13</f>
        <v>0</v>
      </c>
      <c r="O13" s="4">
        <v>0</v>
      </c>
      <c r="P13" s="4">
        <v>0</v>
      </c>
      <c r="Q13" s="9"/>
      <c r="R13" s="9"/>
      <c r="S13" s="9"/>
      <c r="V13" s="2">
        <f>_xlfn.XLOOKUP(JUL!A:A,'SR-SS'!A:A,'SR-SS'!C:C)+TIME(0,30,0)</f>
        <v>0.840972222222222</v>
      </c>
      <c r="W13" s="2">
        <f>_xlfn.XLOOKUP(JUL!A:A,'SR-SS'!A:A,'SR-SS'!B:B)-TIME(0,30,0)</f>
        <v>0.194444444444444</v>
      </c>
    </row>
    <row r="14" spans="1:23">
      <c r="A14" s="6">
        <v>45851</v>
      </c>
      <c r="K14" s="4">
        <f>MOD(JUL!J14-JUL!I14,1)</f>
        <v>0</v>
      </c>
      <c r="L14" s="4">
        <f>IF(JUL!I14&lt;JUL!V14,MIN(JUL!V14-JUL!I14,JUL!K14),0)</f>
        <v>0</v>
      </c>
      <c r="M14" s="4">
        <f>JUL!K14-JUL!L14</f>
        <v>0</v>
      </c>
      <c r="N14" s="4">
        <f>JUL!K14-JUL!L14</f>
        <v>0</v>
      </c>
      <c r="O14" s="4">
        <v>0</v>
      </c>
      <c r="P14" s="4">
        <v>0</v>
      </c>
      <c r="Q14" s="9"/>
      <c r="R14" s="9"/>
      <c r="S14" s="9"/>
      <c r="V14" s="2">
        <f>_xlfn.XLOOKUP(JUL!A:A,'SR-SS'!A:A,'SR-SS'!C:C)+TIME(0,30,0)</f>
        <v>0.840972222222222</v>
      </c>
      <c r="W14" s="2">
        <f>_xlfn.XLOOKUP(JUL!A:A,'SR-SS'!A:A,'SR-SS'!B:B)-TIME(0,30,0)</f>
        <v>0.195138888888889</v>
      </c>
    </row>
    <row r="15" spans="1:23">
      <c r="A15" s="6">
        <v>45852</v>
      </c>
      <c r="K15" s="4">
        <f>MOD(JUL!J15-JUL!I15,1)</f>
        <v>0</v>
      </c>
      <c r="L15" s="4">
        <f>IF(JUL!I15&lt;JUL!V15,MIN(JUL!V15-JUL!I15,JUL!K15),0)</f>
        <v>0</v>
      </c>
      <c r="M15" s="4">
        <f>JUL!K15-JUL!L15</f>
        <v>0</v>
      </c>
      <c r="N15" s="4">
        <f>JUL!K15-JUL!L15</f>
        <v>0</v>
      </c>
      <c r="O15" s="4">
        <v>0</v>
      </c>
      <c r="P15" s="4">
        <v>0</v>
      </c>
      <c r="Q15" s="9"/>
      <c r="R15" s="9"/>
      <c r="S15" s="9"/>
      <c r="V15" s="2">
        <f>_xlfn.XLOOKUP(JUL!A:A,'SR-SS'!A:A,'SR-SS'!C:C)+TIME(0,30,0)</f>
        <v>0.840972222222222</v>
      </c>
      <c r="W15" s="2">
        <f>_xlfn.XLOOKUP(JUL!A:A,'SR-SS'!A:A,'SR-SS'!B:B)-TIME(0,30,0)</f>
        <v>0.195138888888889</v>
      </c>
    </row>
    <row r="16" spans="1:23">
      <c r="A16" s="6">
        <v>45853</v>
      </c>
      <c r="K16" s="4">
        <f>MOD(JUL!J16-JUL!I16,1)</f>
        <v>0</v>
      </c>
      <c r="L16" s="4">
        <f>IF(JUL!I16&lt;JUL!V16,MIN(JUL!V16-JUL!I16,JUL!K16),0)</f>
        <v>0</v>
      </c>
      <c r="M16" s="4">
        <f>JUL!K16-JUL!L16</f>
        <v>0</v>
      </c>
      <c r="N16" s="4">
        <f>JUL!K16-JUL!L16</f>
        <v>0</v>
      </c>
      <c r="O16" s="4">
        <v>0</v>
      </c>
      <c r="P16" s="4">
        <v>0</v>
      </c>
      <c r="Q16" s="9"/>
      <c r="R16" s="9"/>
      <c r="S16" s="9"/>
      <c r="V16" s="2">
        <f>_xlfn.XLOOKUP(JUL!A:A,'SR-SS'!A:A,'SR-SS'!C:C)+TIME(0,30,0)</f>
        <v>0.840277777777778</v>
      </c>
      <c r="W16" s="2">
        <f>_xlfn.XLOOKUP(JUL!A:A,'SR-SS'!A:A,'SR-SS'!B:B)-TIME(0,30,0)</f>
        <v>0.195833333333333</v>
      </c>
    </row>
    <row r="17" spans="1:23">
      <c r="A17" s="6">
        <v>45854</v>
      </c>
      <c r="K17" s="4">
        <f>MOD(JUL!J17-JUL!I17,1)</f>
        <v>0</v>
      </c>
      <c r="L17" s="4">
        <f>IF(JUL!I17&lt;JUL!V17,MIN(JUL!V17-JUL!I17,JUL!K17),0)</f>
        <v>0</v>
      </c>
      <c r="M17" s="4">
        <f>JUL!K17-JUL!L17</f>
        <v>0</v>
      </c>
      <c r="N17" s="4">
        <f>JUL!K17-JUL!L17</f>
        <v>0</v>
      </c>
      <c r="O17" s="4">
        <v>0</v>
      </c>
      <c r="P17" s="4">
        <v>0</v>
      </c>
      <c r="Q17" s="9"/>
      <c r="R17" s="9"/>
      <c r="S17" s="9"/>
      <c r="V17" s="2">
        <f>_xlfn.XLOOKUP(JUL!A:A,'SR-SS'!A:A,'SR-SS'!C:C)+TIME(0,30,0)</f>
        <v>0.840277777777778</v>
      </c>
      <c r="W17" s="2">
        <f>_xlfn.XLOOKUP(JUL!A:A,'SR-SS'!A:A,'SR-SS'!B:B)-TIME(0,30,0)</f>
        <v>0.196527777777778</v>
      </c>
    </row>
    <row r="18" spans="1:23">
      <c r="A18" s="6">
        <v>45855</v>
      </c>
      <c r="K18" s="4">
        <f>MOD(JUL!J18-JUL!I18,1)</f>
        <v>0</v>
      </c>
      <c r="L18" s="4">
        <f>IF(JUL!I18&lt;JUL!V18,MIN(JUL!V18-JUL!I18,JUL!K18),0)</f>
        <v>0</v>
      </c>
      <c r="M18" s="4">
        <f>JUL!K18-JUL!L18</f>
        <v>0</v>
      </c>
      <c r="N18" s="4">
        <f>JUL!K18-JUL!L18</f>
        <v>0</v>
      </c>
      <c r="O18" s="4">
        <v>0</v>
      </c>
      <c r="P18" s="4">
        <v>0</v>
      </c>
      <c r="Q18" s="9"/>
      <c r="R18" s="9"/>
      <c r="S18" s="9"/>
      <c r="V18" s="2">
        <f>_xlfn.XLOOKUP(JUL!A:A,'SR-SS'!A:A,'SR-SS'!C:C)+TIME(0,30,0)</f>
        <v>0.839583333333333</v>
      </c>
      <c r="W18" s="2">
        <f>_xlfn.XLOOKUP(JUL!A:A,'SR-SS'!A:A,'SR-SS'!B:B)-TIME(0,30,0)</f>
        <v>0.196527777777778</v>
      </c>
    </row>
    <row r="19" spans="1:23">
      <c r="A19" s="6">
        <v>45856</v>
      </c>
      <c r="K19" s="4">
        <f>MOD(JUL!J19-JUL!I19,1)</f>
        <v>0</v>
      </c>
      <c r="L19" s="4">
        <f>IF(JUL!I19&lt;JUL!V19,MIN(JUL!V19-JUL!I19,JUL!K19),0)</f>
        <v>0</v>
      </c>
      <c r="M19" s="4">
        <f>JUL!K19-JUL!L19</f>
        <v>0</v>
      </c>
      <c r="N19" s="4">
        <f>JUL!K19-JUL!L19</f>
        <v>0</v>
      </c>
      <c r="O19" s="4">
        <v>0</v>
      </c>
      <c r="P19" s="4">
        <v>0</v>
      </c>
      <c r="Q19" s="9"/>
      <c r="R19" s="9"/>
      <c r="S19" s="9"/>
      <c r="V19" s="2">
        <f>_xlfn.XLOOKUP(JUL!A:A,'SR-SS'!A:A,'SR-SS'!C:C)+TIME(0,30,0)</f>
        <v>0.838888888888889</v>
      </c>
      <c r="W19" s="2">
        <f>_xlfn.XLOOKUP(JUL!A:A,'SR-SS'!A:A,'SR-SS'!B:B)-TIME(0,30,0)</f>
        <v>0.197222222222222</v>
      </c>
    </row>
    <row r="20" spans="1:23">
      <c r="A20" s="6">
        <v>45857</v>
      </c>
      <c r="K20" s="4">
        <f>MOD(JUL!J20-JUL!I20,1)</f>
        <v>0</v>
      </c>
      <c r="L20" s="4">
        <f>IF(JUL!I20&lt;JUL!V20,MIN(JUL!V20-JUL!I20,JUL!K20),0)</f>
        <v>0</v>
      </c>
      <c r="M20" s="4">
        <f>JUL!K20-JUL!L20</f>
        <v>0</v>
      </c>
      <c r="N20" s="4">
        <f>JUL!K20-JUL!L20</f>
        <v>0</v>
      </c>
      <c r="O20" s="4">
        <v>0</v>
      </c>
      <c r="P20" s="4">
        <v>0</v>
      </c>
      <c r="Q20" s="9"/>
      <c r="R20" s="9"/>
      <c r="S20" s="9"/>
      <c r="V20" s="2">
        <f>_xlfn.XLOOKUP(JUL!A:A,'SR-SS'!A:A,'SR-SS'!C:C)+TIME(0,30,0)</f>
        <v>0.838888888888889</v>
      </c>
      <c r="W20" s="2">
        <f>_xlfn.XLOOKUP(JUL!A:A,'SR-SS'!A:A,'SR-SS'!B:B)-TIME(0,30,0)</f>
        <v>0.197916666666667</v>
      </c>
    </row>
    <row r="21" spans="1:23">
      <c r="A21" s="6">
        <v>45858</v>
      </c>
      <c r="K21" s="4">
        <f>MOD(JUL!J21-JUL!I21,1)</f>
        <v>0</v>
      </c>
      <c r="L21" s="4">
        <f>IF(JUL!I21&lt;JUL!V21,MIN(JUL!V21-JUL!I21,JUL!K21),0)</f>
        <v>0</v>
      </c>
      <c r="M21" s="4">
        <f>JUL!K21-JUL!L21</f>
        <v>0</v>
      </c>
      <c r="N21" s="4">
        <f>JUL!K21-JUL!L21</f>
        <v>0</v>
      </c>
      <c r="O21" s="4">
        <v>0</v>
      </c>
      <c r="P21" s="4">
        <v>0</v>
      </c>
      <c r="Q21" s="9"/>
      <c r="R21" s="9"/>
      <c r="S21" s="9"/>
      <c r="V21" s="2">
        <f>_xlfn.XLOOKUP(JUL!A:A,'SR-SS'!A:A,'SR-SS'!C:C)+TIME(0,30,0)</f>
        <v>0.838194444444444</v>
      </c>
      <c r="W21" s="2">
        <f>_xlfn.XLOOKUP(JUL!A:A,'SR-SS'!A:A,'SR-SS'!B:B)-TIME(0,30,0)</f>
        <v>0.198611111111111</v>
      </c>
    </row>
    <row r="22" spans="1:23">
      <c r="A22" s="6">
        <v>45859</v>
      </c>
      <c r="K22" s="4">
        <f>MOD(JUL!J22-JUL!I22,1)</f>
        <v>0</v>
      </c>
      <c r="L22" s="4">
        <f>IF(JUL!I22&lt;JUL!V22,MIN(JUL!V22-JUL!I22,JUL!K22),0)</f>
        <v>0</v>
      </c>
      <c r="M22" s="4">
        <f>JUL!K22-JUL!L22</f>
        <v>0</v>
      </c>
      <c r="N22" s="4">
        <f>JUL!K22-JUL!L22</f>
        <v>0</v>
      </c>
      <c r="O22" s="4">
        <v>0</v>
      </c>
      <c r="P22" s="4">
        <v>0</v>
      </c>
      <c r="Q22" s="9"/>
      <c r="R22" s="9"/>
      <c r="S22" s="9"/>
      <c r="V22" s="2">
        <f>_xlfn.XLOOKUP(JUL!A:A,'SR-SS'!A:A,'SR-SS'!C:C)+TIME(0,30,0)</f>
        <v>0.8375</v>
      </c>
      <c r="W22" s="2">
        <f>_xlfn.XLOOKUP(JUL!A:A,'SR-SS'!A:A,'SR-SS'!B:B)-TIME(0,30,0)</f>
        <v>0.198611111111111</v>
      </c>
    </row>
    <row r="23" spans="1:23">
      <c r="A23" s="6">
        <v>45860</v>
      </c>
      <c r="K23" s="4">
        <f>MOD(JUL!J23-JUL!I23,1)</f>
        <v>0</v>
      </c>
      <c r="L23" s="4">
        <f>IF(JUL!I23&lt;JUL!V23,MIN(JUL!V23-JUL!I23,JUL!K23),0)</f>
        <v>0</v>
      </c>
      <c r="M23" s="4">
        <f>JUL!K23-JUL!L23</f>
        <v>0</v>
      </c>
      <c r="N23" s="4">
        <f>JUL!K23-JUL!L23</f>
        <v>0</v>
      </c>
      <c r="O23" s="4">
        <v>0</v>
      </c>
      <c r="P23" s="4">
        <v>0</v>
      </c>
      <c r="Q23" s="9"/>
      <c r="R23" s="9"/>
      <c r="S23" s="9"/>
      <c r="V23" s="2">
        <f>_xlfn.XLOOKUP(JUL!A:A,'SR-SS'!A:A,'SR-SS'!C:C)+TIME(0,30,0)</f>
        <v>0.8375</v>
      </c>
      <c r="W23" s="2">
        <f>_xlfn.XLOOKUP(JUL!A:A,'SR-SS'!A:A,'SR-SS'!B:B)-TIME(0,30,0)</f>
        <v>0.199305555555556</v>
      </c>
    </row>
    <row r="24" spans="1:23">
      <c r="A24" s="6">
        <v>45861</v>
      </c>
      <c r="K24" s="4">
        <f>MOD(JUL!J24-JUL!I24,1)</f>
        <v>0</v>
      </c>
      <c r="L24" s="4">
        <f>IF(JUL!I24&lt;JUL!V24,MIN(JUL!V24-JUL!I24,JUL!K24),0)</f>
        <v>0</v>
      </c>
      <c r="M24" s="4">
        <f>JUL!K24-JUL!L24</f>
        <v>0</v>
      </c>
      <c r="N24" s="4">
        <f>JUL!K24-JUL!L24</f>
        <v>0</v>
      </c>
      <c r="O24" s="4">
        <v>0</v>
      </c>
      <c r="P24" s="4">
        <v>0</v>
      </c>
      <c r="Q24" s="9"/>
      <c r="R24" s="9"/>
      <c r="S24" s="9"/>
      <c r="V24" s="2">
        <f>_xlfn.XLOOKUP(JUL!A:A,'SR-SS'!A:A,'SR-SS'!C:C)+TIME(0,30,0)</f>
        <v>0.836805555555556</v>
      </c>
      <c r="W24" s="2">
        <f>_xlfn.XLOOKUP(JUL!A:A,'SR-SS'!A:A,'SR-SS'!B:B)-TIME(0,30,0)</f>
        <v>0.2</v>
      </c>
    </row>
    <row r="25" spans="1:23">
      <c r="A25" s="6">
        <v>45862</v>
      </c>
      <c r="K25" s="4">
        <f>MOD(JUL!J25-JUL!I25,1)</f>
        <v>0</v>
      </c>
      <c r="L25" s="4">
        <f>IF(JUL!I25&lt;JUL!V25,MIN(JUL!V25-JUL!I25,JUL!K25),0)</f>
        <v>0</v>
      </c>
      <c r="M25" s="4">
        <f>JUL!K25-JUL!L25</f>
        <v>0</v>
      </c>
      <c r="N25" s="4">
        <f>JUL!K25-JUL!L25</f>
        <v>0</v>
      </c>
      <c r="O25" s="4">
        <v>0</v>
      </c>
      <c r="P25" s="4">
        <v>0</v>
      </c>
      <c r="Q25" s="9"/>
      <c r="R25" s="9"/>
      <c r="S25" s="9"/>
      <c r="V25" s="2">
        <f>_xlfn.XLOOKUP(JUL!A:A,'SR-SS'!A:A,'SR-SS'!C:C)+TIME(0,30,0)</f>
        <v>0.836111111111111</v>
      </c>
      <c r="W25" s="2">
        <f>_xlfn.XLOOKUP(JUL!A:A,'SR-SS'!A:A,'SR-SS'!B:B)-TIME(0,30,0)</f>
        <v>0.200694444444444</v>
      </c>
    </row>
    <row r="26" spans="1:23">
      <c r="A26" s="6">
        <v>45863</v>
      </c>
      <c r="K26" s="4">
        <f>MOD(JUL!J26-JUL!I26,1)</f>
        <v>0</v>
      </c>
      <c r="L26" s="4">
        <f>IF(JUL!I26&lt;JUL!V26,MIN(JUL!V26-JUL!I26,JUL!K26),0)</f>
        <v>0</v>
      </c>
      <c r="M26" s="4">
        <f>JUL!K26-JUL!L26</f>
        <v>0</v>
      </c>
      <c r="N26" s="4">
        <f>JUL!K26-JUL!L26</f>
        <v>0</v>
      </c>
      <c r="O26" s="4">
        <v>0</v>
      </c>
      <c r="P26" s="4">
        <v>0</v>
      </c>
      <c r="Q26" s="9"/>
      <c r="R26" s="9"/>
      <c r="S26" s="9"/>
      <c r="V26" s="2">
        <f>_xlfn.XLOOKUP(JUL!A:A,'SR-SS'!A:A,'SR-SS'!C:C)+TIME(0,30,0)</f>
        <v>0.836111111111111</v>
      </c>
      <c r="W26" s="2">
        <f>_xlfn.XLOOKUP(JUL!A:A,'SR-SS'!A:A,'SR-SS'!B:B)-TIME(0,30,0)</f>
        <v>0.201388888888889</v>
      </c>
    </row>
    <row r="27" spans="1:23">
      <c r="A27" s="6">
        <v>45864</v>
      </c>
      <c r="K27" s="4">
        <f>MOD(JUL!J27-JUL!I27,1)</f>
        <v>0</v>
      </c>
      <c r="L27" s="4">
        <f>IF(JUL!I27&lt;JUL!V27,MIN(JUL!V27-JUL!I27,JUL!K27),0)</f>
        <v>0</v>
      </c>
      <c r="M27" s="4">
        <f>JUL!K27-JUL!L27</f>
        <v>0</v>
      </c>
      <c r="N27" s="4">
        <f>JUL!K27-JUL!L27</f>
        <v>0</v>
      </c>
      <c r="O27" s="4">
        <v>0</v>
      </c>
      <c r="P27" s="4">
        <v>0</v>
      </c>
      <c r="Q27" s="9"/>
      <c r="R27" s="9"/>
      <c r="S27" s="9"/>
      <c r="V27" s="2">
        <f>_xlfn.XLOOKUP(JUL!A:A,'SR-SS'!A:A,'SR-SS'!C:C)+TIME(0,30,0)</f>
        <v>0.835416666666667</v>
      </c>
      <c r="W27" s="2">
        <f>_xlfn.XLOOKUP(JUL!A:A,'SR-SS'!A:A,'SR-SS'!B:B)-TIME(0,30,0)</f>
        <v>0.201388888888889</v>
      </c>
    </row>
    <row r="28" spans="1:23">
      <c r="A28" s="6">
        <v>45865</v>
      </c>
      <c r="K28" s="4">
        <f>MOD(JUL!J28-JUL!I28,1)</f>
        <v>0</v>
      </c>
      <c r="L28" s="4">
        <f>IF(JUL!I28&lt;JUL!V28,MIN(JUL!V28-JUL!I28,JUL!K28),0)</f>
        <v>0</v>
      </c>
      <c r="M28" s="4">
        <f>JUL!K28-JUL!L28</f>
        <v>0</v>
      </c>
      <c r="N28" s="4">
        <f>JUL!K28-JUL!L28</f>
        <v>0</v>
      </c>
      <c r="O28" s="4">
        <v>0</v>
      </c>
      <c r="P28" s="4">
        <v>0</v>
      </c>
      <c r="Q28" s="9"/>
      <c r="R28" s="9"/>
      <c r="S28" s="9"/>
      <c r="V28" s="2">
        <f>_xlfn.XLOOKUP(JUL!A:A,'SR-SS'!A:A,'SR-SS'!C:C)+TIME(0,30,0)</f>
        <v>0.834722222222222</v>
      </c>
      <c r="W28" s="2">
        <f>_xlfn.XLOOKUP(JUL!A:A,'SR-SS'!A:A,'SR-SS'!B:B)-TIME(0,30,0)</f>
        <v>0.202083333333333</v>
      </c>
    </row>
    <row r="29" spans="1:23">
      <c r="A29" s="6">
        <v>45866</v>
      </c>
      <c r="K29" s="4">
        <f>MOD(JUL!J29-JUL!I29,1)</f>
        <v>0</v>
      </c>
      <c r="L29" s="4">
        <f>IF(JUL!I29&lt;JUL!V29,MIN(JUL!V29-JUL!I29,JUL!K29),0)</f>
        <v>0</v>
      </c>
      <c r="M29" s="4">
        <f>JUL!K29-JUL!L29</f>
        <v>0</v>
      </c>
      <c r="N29" s="4">
        <f>JUL!K29-JUL!L29</f>
        <v>0</v>
      </c>
      <c r="O29" s="4">
        <v>0</v>
      </c>
      <c r="P29" s="4">
        <v>0</v>
      </c>
      <c r="Q29" s="9"/>
      <c r="R29" s="9"/>
      <c r="S29" s="9"/>
      <c r="V29" s="2">
        <f>_xlfn.XLOOKUP(JUL!A:A,'SR-SS'!A:A,'SR-SS'!C:C)+TIME(0,30,0)</f>
        <v>0.834027777777778</v>
      </c>
      <c r="W29" s="2">
        <f>_xlfn.XLOOKUP(JUL!A:A,'SR-SS'!A:A,'SR-SS'!B:B)-TIME(0,30,0)</f>
        <v>0.202777777777778</v>
      </c>
    </row>
    <row r="30" spans="1:23">
      <c r="A30" s="6">
        <v>45867</v>
      </c>
      <c r="K30" s="4">
        <f>MOD(JUL!J30-JUL!I30,1)</f>
        <v>0</v>
      </c>
      <c r="L30" s="4">
        <f>IF(JUL!I30&lt;JUL!V30,MIN(JUL!V30-JUL!I30,JUL!K30),0)</f>
        <v>0</v>
      </c>
      <c r="M30" s="4">
        <f>JUL!K30-JUL!L30</f>
        <v>0</v>
      </c>
      <c r="N30" s="4">
        <f>JUL!K30-JUL!L30</f>
        <v>0</v>
      </c>
      <c r="O30" s="4">
        <v>0</v>
      </c>
      <c r="P30" s="4">
        <v>0</v>
      </c>
      <c r="Q30" s="9"/>
      <c r="R30" s="9"/>
      <c r="S30" s="9"/>
      <c r="V30" s="2">
        <f>_xlfn.XLOOKUP(JUL!A:A,'SR-SS'!A:A,'SR-SS'!C:C)+TIME(0,30,0)</f>
        <v>0.833333333333333</v>
      </c>
      <c r="W30" s="2">
        <f>_xlfn.XLOOKUP(JUL!A:A,'SR-SS'!A:A,'SR-SS'!B:B)-TIME(0,30,0)</f>
        <v>0.203472222222222</v>
      </c>
    </row>
    <row r="31" spans="1:23">
      <c r="A31" s="6">
        <v>45868</v>
      </c>
      <c r="K31" s="4">
        <f>MOD(JUL!J31-JUL!I31,1)</f>
        <v>0</v>
      </c>
      <c r="L31" s="4">
        <f>IF(JUL!I31&lt;JUL!V31,MIN(JUL!V31-JUL!I31,JUL!K31),0)</f>
        <v>0</v>
      </c>
      <c r="M31" s="4">
        <f>JUL!K31-JUL!L31</f>
        <v>0</v>
      </c>
      <c r="N31" s="4">
        <f>JUL!K31-JUL!L31</f>
        <v>0</v>
      </c>
      <c r="O31" s="4">
        <v>0</v>
      </c>
      <c r="P31" s="4">
        <v>0</v>
      </c>
      <c r="Q31" s="9"/>
      <c r="R31" s="9"/>
      <c r="S31" s="9"/>
      <c r="V31" s="2">
        <f>_xlfn.XLOOKUP(JUL!A:A,'SR-SS'!A:A,'SR-SS'!C:C)+TIME(0,30,0)</f>
        <v>0.832638888888889</v>
      </c>
      <c r="W31" s="2">
        <f>_xlfn.XLOOKUP(JUL!A:A,'SR-SS'!A:A,'SR-SS'!B:B)-TIME(0,30,0)</f>
        <v>0.204166666666667</v>
      </c>
    </row>
    <row r="32" spans="1:23">
      <c r="A32" s="6">
        <v>45869</v>
      </c>
      <c r="K32" s="4">
        <f>MOD(JUL!J32-JUL!I32,1)</f>
        <v>0</v>
      </c>
      <c r="L32" s="4">
        <f>IF(JUL!I32&lt;JUL!V32,MIN(JUL!V32-JUL!I32,JUL!K32),0)</f>
        <v>0</v>
      </c>
      <c r="M32" s="4">
        <f>JUL!K32-JUL!L32</f>
        <v>0</v>
      </c>
      <c r="N32" s="4">
        <f>JUL!K32-JUL!L32</f>
        <v>0</v>
      </c>
      <c r="O32" s="4">
        <v>0</v>
      </c>
      <c r="P32" s="4">
        <v>0</v>
      </c>
      <c r="Q32" s="9"/>
      <c r="R32" s="9"/>
      <c r="S32" s="9"/>
      <c r="V32" s="2">
        <f>_xlfn.XLOOKUP(JUL!A:A,'SR-SS'!A:A,'SR-SS'!C:C)+TIME(0,30,0)</f>
        <v>0.831944444444444</v>
      </c>
      <c r="W32" s="2">
        <f>_xlfn.XLOOKUP(JUL!A:A,'SR-SS'!A:A,'SR-SS'!B:B)-TIME(0,30,0)</f>
        <v>0.204166666666667</v>
      </c>
    </row>
    <row r="33" spans="1:19">
      <c r="A33" s="6" t="s">
        <v>39</v>
      </c>
      <c r="K33" s="7">
        <f>SUM(Table11[Flight Duration])</f>
        <v>0</v>
      </c>
      <c r="L33" s="4">
        <f>SUM(Table11[Day Duration])</f>
        <v>0</v>
      </c>
      <c r="M33" s="4">
        <f>SUM(Table11[Night Duration])</f>
        <v>0</v>
      </c>
      <c r="N33" s="4">
        <f>SUM(Table11[NVG Duration])</f>
        <v>0</v>
      </c>
      <c r="O33" s="4">
        <f>SUM(Table11[Simulated IFR])</f>
        <v>0</v>
      </c>
      <c r="P33" s="4">
        <f>SUM(Table11[Real IFR])</f>
        <v>0</v>
      </c>
      <c r="Q33" s="9">
        <f>SUM(Table11[Takeoffs])</f>
        <v>0</v>
      </c>
      <c r="R33" s="9">
        <f>SUM(Table11[Landings])</f>
        <v>0</v>
      </c>
      <c r="S33" s="9">
        <f>SUM(Table11[Inst. Apps])</f>
        <v>0</v>
      </c>
    </row>
  </sheetData>
  <printOptions headings="1"/>
  <pageMargins left="0.75" right="0.75" top="1" bottom="1" header="0.5" footer="0.5"/>
  <pageSetup paperSize="9" scale="40" fitToWidth="0" fitToHeight="0" orientation="landscape" horizontalDpi="600" verticalDpi="600"/>
  <headerFooter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3"/>
  <sheetViews>
    <sheetView topLeftCell="O1" workbookViewId="0">
      <selection activeCell="I1" sqref="I$1:I$1048576"/>
    </sheetView>
  </sheetViews>
  <sheetFormatPr defaultColWidth="9" defaultRowHeight="14.25"/>
  <cols>
    <col min="1" max="1" width="10.7890625" style="6" customWidth="1"/>
    <col min="2" max="2" width="16.5546875" style="1" customWidth="1"/>
    <col min="3" max="3" width="18.375" style="1" customWidth="1"/>
    <col min="4" max="4" width="17.7265625" style="1" customWidth="1"/>
    <col min="5" max="5" width="15.90625" style="1" customWidth="1"/>
    <col min="6" max="6" width="12.796875" style="1" customWidth="1"/>
    <col min="7" max="8" width="12.421875" style="1" customWidth="1"/>
    <col min="9" max="9" width="13.578125" style="1" customWidth="1"/>
    <col min="10" max="10" width="16.03125" style="1" customWidth="1"/>
    <col min="11" max="11" width="20.1953125" style="1" customWidth="1"/>
    <col min="12" max="12" width="18.6328125" style="1" customWidth="1"/>
    <col min="13" max="13" width="20.1953125" style="1" customWidth="1"/>
    <col min="14" max="14" width="19.28125" style="1" customWidth="1"/>
    <col min="15" max="15" width="18.890625" style="1" customWidth="1"/>
    <col min="16" max="16" width="13.8515625" style="1" customWidth="1"/>
    <col min="17" max="18" width="10.0078125" style="1" customWidth="1"/>
    <col min="19" max="19" width="10.140625" style="1" customWidth="1"/>
    <col min="20" max="20" width="35.8515625" style="1" customWidth="1"/>
    <col min="21" max="21" width="9" style="1"/>
    <col min="22" max="22" width="10.2734375"/>
    <col min="23" max="23" width="10.2734375" style="4"/>
    <col min="24" max="16384" width="9" style="1"/>
  </cols>
  <sheetData>
    <row r="1" s="5" customFormat="1" spans="1:23">
      <c r="A1" s="5" t="s">
        <v>0</v>
      </c>
      <c r="B1" s="5" t="s">
        <v>1</v>
      </c>
      <c r="C1" s="5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5" t="s">
        <v>10</v>
      </c>
      <c r="L1" s="5" t="s">
        <v>11</v>
      </c>
      <c r="M1" s="5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" t="s">
        <v>18</v>
      </c>
      <c r="T1" s="1" t="s">
        <v>19</v>
      </c>
      <c r="V1" s="11" t="s">
        <v>20</v>
      </c>
      <c r="W1" s="11" t="s">
        <v>21</v>
      </c>
    </row>
    <row r="2" spans="1:23">
      <c r="A2" s="6">
        <v>45870</v>
      </c>
      <c r="K2" s="4">
        <f>MOD(AUG!J2-AUG!I2,1)</f>
        <v>0</v>
      </c>
      <c r="L2" s="4">
        <f>IF(AUG!I2&lt;AUG!V2,MIN(AUG!V2-AUG!I2,AUG!K2),0)</f>
        <v>0</v>
      </c>
      <c r="M2" s="4">
        <f>AUG!K2-AUG!L2</f>
        <v>0</v>
      </c>
      <c r="N2" s="4">
        <f>AUG!K2-AUG!L2</f>
        <v>0</v>
      </c>
      <c r="O2" s="4">
        <v>0</v>
      </c>
      <c r="P2" s="4">
        <v>0</v>
      </c>
      <c r="Q2" s="9"/>
      <c r="R2" s="9"/>
      <c r="S2" s="9"/>
      <c r="V2" s="2">
        <f>_xlfn.XLOOKUP(AUG!A:A,'SR-SS'!A:A,'SR-SS'!C:C)+TIME(0,30,0)</f>
        <v>0.83125</v>
      </c>
      <c r="W2" s="2">
        <f>_xlfn.XLOOKUP(AUG!A:A,'SR-SS'!A:A,'SR-SS'!B:B)-TIME(0,30,0)</f>
        <v>0.204861111111111</v>
      </c>
    </row>
    <row r="3" spans="1:23">
      <c r="A3" s="6">
        <v>45871</v>
      </c>
      <c r="K3" s="4">
        <f>MOD(AUG!J3-AUG!I3,1)</f>
        <v>0</v>
      </c>
      <c r="L3" s="4">
        <f>IF(AUG!I3&lt;AUG!V3,MIN(AUG!V3-AUG!I3,AUG!K3),0)</f>
        <v>0</v>
      </c>
      <c r="M3" s="4">
        <f>AUG!K3-AUG!L3</f>
        <v>0</v>
      </c>
      <c r="N3" s="4">
        <f>AUG!K3-AUG!L3</f>
        <v>0</v>
      </c>
      <c r="O3" s="4">
        <v>0</v>
      </c>
      <c r="P3" s="4">
        <v>0</v>
      </c>
      <c r="Q3" s="9"/>
      <c r="R3" s="9"/>
      <c r="S3" s="9"/>
      <c r="V3" s="2">
        <f>_xlfn.XLOOKUP(AUG!A:A,'SR-SS'!A:A,'SR-SS'!C:C)+TIME(0,30,0)</f>
        <v>0.830555555555556</v>
      </c>
      <c r="W3" s="2">
        <f>_xlfn.XLOOKUP(AUG!A:A,'SR-SS'!A:A,'SR-SS'!B:B)-TIME(0,30,0)</f>
        <v>0.205555555555556</v>
      </c>
    </row>
    <row r="4" spans="1:23">
      <c r="A4" s="6">
        <v>45872</v>
      </c>
      <c r="K4" s="4">
        <f>MOD(AUG!J4-AUG!I4,1)</f>
        <v>0</v>
      </c>
      <c r="L4" s="4">
        <f>IF(AUG!I4&lt;AUG!V4,MIN(AUG!V4-AUG!I4,AUG!K4),0)</f>
        <v>0</v>
      </c>
      <c r="M4" s="4">
        <f>AUG!K4-AUG!L4</f>
        <v>0</v>
      </c>
      <c r="N4" s="4">
        <f>AUG!K4-AUG!L4</f>
        <v>0</v>
      </c>
      <c r="O4" s="4">
        <v>0</v>
      </c>
      <c r="P4" s="4">
        <v>0</v>
      </c>
      <c r="Q4" s="9"/>
      <c r="R4" s="9"/>
      <c r="S4" s="9"/>
      <c r="V4" s="2">
        <f>_xlfn.XLOOKUP(AUG!A:A,'SR-SS'!A:A,'SR-SS'!C:C)+TIME(0,30,0)</f>
        <v>0.829861111111111</v>
      </c>
      <c r="W4" s="2">
        <f>_xlfn.XLOOKUP(AUG!A:A,'SR-SS'!A:A,'SR-SS'!B:B)-TIME(0,30,0)</f>
        <v>0.20625</v>
      </c>
    </row>
    <row r="5" spans="1:23">
      <c r="A5" s="6">
        <v>45873</v>
      </c>
      <c r="K5" s="4">
        <f>MOD(AUG!J5-AUG!I5,1)</f>
        <v>0</v>
      </c>
      <c r="L5" s="4">
        <f>IF(AUG!I5&lt;AUG!V5,MIN(AUG!V5-AUG!I5,AUG!K5),0)</f>
        <v>0</v>
      </c>
      <c r="M5" s="4">
        <f>AUG!K5-AUG!L5</f>
        <v>0</v>
      </c>
      <c r="N5" s="4">
        <f>AUG!K5-AUG!L5</f>
        <v>0</v>
      </c>
      <c r="O5" s="4">
        <v>0</v>
      </c>
      <c r="P5" s="4">
        <v>0</v>
      </c>
      <c r="Q5" s="9"/>
      <c r="R5" s="9"/>
      <c r="S5" s="9"/>
      <c r="V5" s="2">
        <f>_xlfn.XLOOKUP(AUG!A:A,'SR-SS'!A:A,'SR-SS'!C:C)+TIME(0,30,0)</f>
        <v>0.829166666666667</v>
      </c>
      <c r="W5" s="2">
        <f>_xlfn.XLOOKUP(AUG!A:A,'SR-SS'!A:A,'SR-SS'!B:B)-TIME(0,30,0)</f>
        <v>0.206944444444444</v>
      </c>
    </row>
    <row r="6" spans="1:23">
      <c r="A6" s="6">
        <v>45874</v>
      </c>
      <c r="K6" s="4">
        <f>MOD(AUG!J6-AUG!I6,1)</f>
        <v>0</v>
      </c>
      <c r="L6" s="4">
        <f>IF(AUG!I6&lt;AUG!V6,MIN(AUG!V6-AUG!I6,AUG!K6),0)</f>
        <v>0</v>
      </c>
      <c r="M6" s="4">
        <f>AUG!K6-AUG!L6</f>
        <v>0</v>
      </c>
      <c r="N6" s="4">
        <f>AUG!K6-AUG!L6</f>
        <v>0</v>
      </c>
      <c r="O6" s="4">
        <v>0</v>
      </c>
      <c r="P6" s="4">
        <v>0</v>
      </c>
      <c r="Q6" s="9"/>
      <c r="R6" s="9"/>
      <c r="S6" s="9"/>
      <c r="V6" s="2">
        <f>_xlfn.XLOOKUP(AUG!A:A,'SR-SS'!A:A,'SR-SS'!C:C)+TIME(0,30,0)</f>
        <v>0.828472222222222</v>
      </c>
      <c r="W6" s="2">
        <f>_xlfn.XLOOKUP(AUG!A:A,'SR-SS'!A:A,'SR-SS'!B:B)-TIME(0,30,0)</f>
        <v>0.207638888888889</v>
      </c>
    </row>
    <row r="7" spans="1:23">
      <c r="A7" s="6">
        <v>45875</v>
      </c>
      <c r="K7" s="4">
        <f>MOD(AUG!J7-AUG!I7,1)</f>
        <v>0</v>
      </c>
      <c r="L7" s="4">
        <f>IF(AUG!I7&lt;AUG!V7,MIN(AUG!V7-AUG!I7,AUG!K7),0)</f>
        <v>0</v>
      </c>
      <c r="M7" s="4">
        <f>AUG!K7-AUG!L7</f>
        <v>0</v>
      </c>
      <c r="N7" s="4">
        <f>AUG!K7-AUG!L7</f>
        <v>0</v>
      </c>
      <c r="O7" s="4">
        <v>0</v>
      </c>
      <c r="P7" s="4">
        <v>0</v>
      </c>
      <c r="Q7" s="9"/>
      <c r="R7" s="9"/>
      <c r="S7" s="9"/>
      <c r="V7" s="2">
        <f>_xlfn.XLOOKUP(AUG!A:A,'SR-SS'!A:A,'SR-SS'!C:C)+TIME(0,30,0)</f>
        <v>0.827777777777778</v>
      </c>
      <c r="W7" s="2">
        <f>_xlfn.XLOOKUP(AUG!A:A,'SR-SS'!A:A,'SR-SS'!B:B)-TIME(0,30,0)</f>
        <v>0.207638888888889</v>
      </c>
    </row>
    <row r="8" spans="1:23">
      <c r="A8" s="6">
        <v>45876</v>
      </c>
      <c r="K8" s="4">
        <f>MOD(AUG!J8-AUG!I8,1)</f>
        <v>0</v>
      </c>
      <c r="L8" s="4">
        <f>IF(AUG!I8&lt;AUG!V8,MIN(AUG!V8-AUG!I8,AUG!K8),0)</f>
        <v>0</v>
      </c>
      <c r="M8" s="4">
        <f>AUG!K8-AUG!L8</f>
        <v>0</v>
      </c>
      <c r="N8" s="4">
        <f>AUG!K8-AUG!L8</f>
        <v>0</v>
      </c>
      <c r="O8" s="4">
        <v>0</v>
      </c>
      <c r="P8" s="4">
        <v>0</v>
      </c>
      <c r="Q8" s="9"/>
      <c r="R8" s="9"/>
      <c r="S8" s="9"/>
      <c r="V8" s="2">
        <f>_xlfn.XLOOKUP(AUG!A:A,'SR-SS'!A:A,'SR-SS'!C:C)+TIME(0,30,0)</f>
        <v>0.827083333333333</v>
      </c>
      <c r="W8" s="2">
        <f>_xlfn.XLOOKUP(AUG!A:A,'SR-SS'!A:A,'SR-SS'!B:B)-TIME(0,30,0)</f>
        <v>0.208333333333333</v>
      </c>
    </row>
    <row r="9" spans="1:23">
      <c r="A9" s="6">
        <v>45877</v>
      </c>
      <c r="K9" s="4">
        <f>MOD(AUG!J9-AUG!I9,1)</f>
        <v>0</v>
      </c>
      <c r="L9" s="4">
        <f>IF(AUG!I9&lt;AUG!V9,MIN(AUG!V9-AUG!I9,AUG!K9),0)</f>
        <v>0</v>
      </c>
      <c r="M9" s="4">
        <f>AUG!K9-AUG!L9</f>
        <v>0</v>
      </c>
      <c r="N9" s="4">
        <f>AUG!K9-AUG!L9</f>
        <v>0</v>
      </c>
      <c r="O9" s="4">
        <v>0</v>
      </c>
      <c r="P9" s="4">
        <v>0</v>
      </c>
      <c r="Q9" s="9"/>
      <c r="R9" s="9"/>
      <c r="S9" s="9"/>
      <c r="V9" s="2">
        <f>_xlfn.XLOOKUP(AUG!A:A,'SR-SS'!A:A,'SR-SS'!C:C)+TIME(0,30,0)</f>
        <v>0.826388888888889</v>
      </c>
      <c r="W9" s="2">
        <f>_xlfn.XLOOKUP(AUG!A:A,'SR-SS'!A:A,'SR-SS'!B:B)-TIME(0,30,0)</f>
        <v>0.209027777777778</v>
      </c>
    </row>
    <row r="10" spans="1:23">
      <c r="A10" s="6">
        <v>45878</v>
      </c>
      <c r="K10" s="4">
        <f>MOD(AUG!J10-AUG!I10,1)</f>
        <v>0</v>
      </c>
      <c r="L10" s="4">
        <f>IF(AUG!I10&lt;AUG!V10,MIN(AUG!V10-AUG!I10,AUG!K10),0)</f>
        <v>0</v>
      </c>
      <c r="M10" s="4">
        <f>AUG!K10-AUG!L10</f>
        <v>0</v>
      </c>
      <c r="N10" s="4">
        <f>AUG!K10-AUG!L10</f>
        <v>0</v>
      </c>
      <c r="O10" s="4">
        <v>0</v>
      </c>
      <c r="P10" s="4">
        <v>0</v>
      </c>
      <c r="Q10" s="9"/>
      <c r="R10" s="9"/>
      <c r="S10" s="9"/>
      <c r="V10" s="2">
        <f>_xlfn.XLOOKUP(AUG!A:A,'SR-SS'!A:A,'SR-SS'!C:C)+TIME(0,30,0)</f>
        <v>0.825694444444445</v>
      </c>
      <c r="W10" s="2">
        <f>_xlfn.XLOOKUP(AUG!A:A,'SR-SS'!A:A,'SR-SS'!B:B)-TIME(0,30,0)</f>
        <v>0.209722222222222</v>
      </c>
    </row>
    <row r="11" spans="1:23">
      <c r="A11" s="6">
        <v>45879</v>
      </c>
      <c r="I11" s="7"/>
      <c r="J11" s="7"/>
      <c r="K11" s="4">
        <f>MOD(AUG!J11-AUG!I11,1)</f>
        <v>0</v>
      </c>
      <c r="L11" s="4">
        <f>IF(AUG!I11&lt;AUG!V11,MIN(AUG!V11-AUG!I11,AUG!K11),0)</f>
        <v>0</v>
      </c>
      <c r="M11" s="4">
        <f>AUG!K11-AUG!L11</f>
        <v>0</v>
      </c>
      <c r="N11" s="4">
        <f>AUG!K11-AUG!L11</f>
        <v>0</v>
      </c>
      <c r="O11" s="4">
        <v>0</v>
      </c>
      <c r="P11" s="4">
        <v>0</v>
      </c>
      <c r="Q11" s="9"/>
      <c r="R11" s="9"/>
      <c r="S11" s="9"/>
      <c r="V11" s="2">
        <f>_xlfn.XLOOKUP(AUG!A:A,'SR-SS'!A:A,'SR-SS'!C:C)+TIME(0,30,0)</f>
        <v>0.825</v>
      </c>
      <c r="W11" s="2">
        <f>_xlfn.XLOOKUP(AUG!A:A,'SR-SS'!A:A,'SR-SS'!B:B)-TIME(0,30,0)</f>
        <v>0.210416666666667</v>
      </c>
    </row>
    <row r="12" spans="1:23">
      <c r="A12" s="6">
        <v>45880</v>
      </c>
      <c r="I12" s="7"/>
      <c r="J12" s="7"/>
      <c r="K12" s="4">
        <f>MOD(AUG!J12-AUG!I12,1)</f>
        <v>0</v>
      </c>
      <c r="L12" s="4">
        <f>IF(AUG!I12&lt;AUG!V12,MIN(AUG!V12-AUG!I12,AUG!K12),0)</f>
        <v>0</v>
      </c>
      <c r="M12" s="4">
        <f>AUG!K12-AUG!L12</f>
        <v>0</v>
      </c>
      <c r="N12" s="4">
        <f>AUG!K12-AUG!L12</f>
        <v>0</v>
      </c>
      <c r="O12" s="4">
        <v>0</v>
      </c>
      <c r="P12" s="4">
        <v>0</v>
      </c>
      <c r="Q12" s="9"/>
      <c r="R12" s="9"/>
      <c r="S12" s="9"/>
      <c r="T12" s="10"/>
      <c r="V12" s="2">
        <f>_xlfn.XLOOKUP(AUG!A:A,'SR-SS'!A:A,'SR-SS'!C:C)+TIME(0,30,0)</f>
        <v>0.824305555555556</v>
      </c>
      <c r="W12" s="2">
        <f>_xlfn.XLOOKUP(AUG!A:A,'SR-SS'!A:A,'SR-SS'!B:B)-TIME(0,30,0)</f>
        <v>0.211111111111111</v>
      </c>
    </row>
    <row r="13" spans="1:23">
      <c r="A13" s="6">
        <v>45881</v>
      </c>
      <c r="K13" s="4">
        <f>MOD(AUG!J13-AUG!I13,1)</f>
        <v>0</v>
      </c>
      <c r="L13" s="4">
        <f>IF(AUG!I13&lt;AUG!V13,MIN(AUG!V13-AUG!I13,AUG!K13),0)</f>
        <v>0</v>
      </c>
      <c r="M13" s="4">
        <f>AUG!K13-AUG!L13</f>
        <v>0</v>
      </c>
      <c r="N13" s="4">
        <f>AUG!K13-AUG!L13</f>
        <v>0</v>
      </c>
      <c r="O13" s="4">
        <v>0</v>
      </c>
      <c r="P13" s="4">
        <v>0</v>
      </c>
      <c r="Q13" s="9"/>
      <c r="R13" s="9"/>
      <c r="S13" s="9"/>
      <c r="V13" s="2">
        <f>_xlfn.XLOOKUP(AUG!A:A,'SR-SS'!A:A,'SR-SS'!C:C)+TIME(0,30,0)</f>
        <v>0.822916666666667</v>
      </c>
      <c r="W13" s="2">
        <f>_xlfn.XLOOKUP(AUG!A:A,'SR-SS'!A:A,'SR-SS'!B:B)-TIME(0,30,0)</f>
        <v>0.211111111111111</v>
      </c>
    </row>
    <row r="14" spans="1:23">
      <c r="A14" s="6">
        <v>45882</v>
      </c>
      <c r="K14" s="4">
        <f>MOD(AUG!J14-AUG!I14,1)</f>
        <v>0</v>
      </c>
      <c r="L14" s="4">
        <f>IF(AUG!I14&lt;AUG!V14,MIN(AUG!V14-AUG!I14,AUG!K14),0)</f>
        <v>0</v>
      </c>
      <c r="M14" s="4">
        <f>AUG!K14-AUG!L14</f>
        <v>0</v>
      </c>
      <c r="N14" s="4">
        <f>AUG!K14-AUG!L14</f>
        <v>0</v>
      </c>
      <c r="O14" s="4">
        <v>0</v>
      </c>
      <c r="P14" s="4">
        <v>0</v>
      </c>
      <c r="Q14" s="9"/>
      <c r="R14" s="9"/>
      <c r="S14" s="9"/>
      <c r="V14" s="2">
        <f>_xlfn.XLOOKUP(AUG!A:A,'SR-SS'!A:A,'SR-SS'!C:C)+TIME(0,30,0)</f>
        <v>0.822222222222222</v>
      </c>
      <c r="W14" s="2">
        <f>_xlfn.XLOOKUP(AUG!A:A,'SR-SS'!A:A,'SR-SS'!B:B)-TIME(0,30,0)</f>
        <v>0.211805555555556</v>
      </c>
    </row>
    <row r="15" spans="1:23">
      <c r="A15" s="6">
        <v>45883</v>
      </c>
      <c r="K15" s="4">
        <f>MOD(AUG!J15-AUG!I15,1)</f>
        <v>0</v>
      </c>
      <c r="L15" s="4">
        <f>IF(AUG!I15&lt;AUG!V15,MIN(AUG!V15-AUG!I15,AUG!K15),0)</f>
        <v>0</v>
      </c>
      <c r="M15" s="4">
        <f>AUG!K15-AUG!L15</f>
        <v>0</v>
      </c>
      <c r="N15" s="4">
        <f>AUG!K15-AUG!L15</f>
        <v>0</v>
      </c>
      <c r="O15" s="4">
        <v>0</v>
      </c>
      <c r="P15" s="4">
        <v>0</v>
      </c>
      <c r="Q15" s="9"/>
      <c r="R15" s="9"/>
      <c r="S15" s="9"/>
      <c r="V15" s="2">
        <f>_xlfn.XLOOKUP(AUG!A:A,'SR-SS'!A:A,'SR-SS'!C:C)+TIME(0,30,0)</f>
        <v>0.821527777777778</v>
      </c>
      <c r="W15" s="2">
        <f>_xlfn.XLOOKUP(AUG!A:A,'SR-SS'!A:A,'SR-SS'!B:B)-TIME(0,30,0)</f>
        <v>0.2125</v>
      </c>
    </row>
    <row r="16" spans="1:23">
      <c r="A16" s="6">
        <v>45884</v>
      </c>
      <c r="K16" s="4">
        <f>MOD(AUG!J16-AUG!I16,1)</f>
        <v>0</v>
      </c>
      <c r="L16" s="4">
        <f>IF(AUG!I16&lt;AUG!V16,MIN(AUG!V16-AUG!I16,AUG!K16),0)</f>
        <v>0</v>
      </c>
      <c r="M16" s="4">
        <f>AUG!K16-AUG!L16</f>
        <v>0</v>
      </c>
      <c r="N16" s="4">
        <f>AUG!K16-AUG!L16</f>
        <v>0</v>
      </c>
      <c r="O16" s="4">
        <v>0</v>
      </c>
      <c r="P16" s="4">
        <v>0</v>
      </c>
      <c r="Q16" s="9"/>
      <c r="R16" s="9"/>
      <c r="S16" s="9"/>
      <c r="V16" s="2">
        <f>_xlfn.XLOOKUP(AUG!A:A,'SR-SS'!A:A,'SR-SS'!C:C)+TIME(0,30,0)</f>
        <v>0.820833333333333</v>
      </c>
      <c r="W16" s="2">
        <f>_xlfn.XLOOKUP(AUG!A:A,'SR-SS'!A:A,'SR-SS'!B:B)-TIME(0,30,0)</f>
        <v>0.213194444444444</v>
      </c>
    </row>
    <row r="17" spans="1:23">
      <c r="A17" s="6">
        <v>45885</v>
      </c>
      <c r="K17" s="4">
        <f>MOD(AUG!J17-AUG!I17,1)</f>
        <v>0</v>
      </c>
      <c r="L17" s="4">
        <f>IF(AUG!I17&lt;AUG!V17,MIN(AUG!V17-AUG!I17,AUG!K17),0)</f>
        <v>0</v>
      </c>
      <c r="M17" s="4">
        <f>AUG!K17-AUG!L17</f>
        <v>0</v>
      </c>
      <c r="N17" s="4">
        <f>AUG!K17-AUG!L17</f>
        <v>0</v>
      </c>
      <c r="O17" s="4">
        <v>0</v>
      </c>
      <c r="P17" s="4">
        <v>0</v>
      </c>
      <c r="Q17" s="9"/>
      <c r="R17" s="9"/>
      <c r="S17" s="9"/>
      <c r="V17" s="2">
        <f>_xlfn.XLOOKUP(AUG!A:A,'SR-SS'!A:A,'SR-SS'!C:C)+TIME(0,30,0)</f>
        <v>0.820138888888889</v>
      </c>
      <c r="W17" s="2">
        <f>_xlfn.XLOOKUP(AUG!A:A,'SR-SS'!A:A,'SR-SS'!B:B)-TIME(0,30,0)</f>
        <v>0.213888888888889</v>
      </c>
    </row>
    <row r="18" spans="1:23">
      <c r="A18" s="6">
        <v>45886</v>
      </c>
      <c r="K18" s="4">
        <f>MOD(AUG!J18-AUG!I18,1)</f>
        <v>0</v>
      </c>
      <c r="L18" s="4">
        <f>IF(AUG!I18&lt;AUG!V18,MIN(AUG!V18-AUG!I18,AUG!K18),0)</f>
        <v>0</v>
      </c>
      <c r="M18" s="4">
        <f>AUG!K18-AUG!L18</f>
        <v>0</v>
      </c>
      <c r="N18" s="4">
        <f>AUG!K18-AUG!L18</f>
        <v>0</v>
      </c>
      <c r="O18" s="4">
        <v>0</v>
      </c>
      <c r="P18" s="4">
        <v>0</v>
      </c>
      <c r="Q18" s="9"/>
      <c r="R18" s="9"/>
      <c r="S18" s="9"/>
      <c r="V18" s="2">
        <f>_xlfn.XLOOKUP(AUG!A:A,'SR-SS'!A:A,'SR-SS'!C:C)+TIME(0,30,0)</f>
        <v>0.81875</v>
      </c>
      <c r="W18" s="2">
        <f>_xlfn.XLOOKUP(AUG!A:A,'SR-SS'!A:A,'SR-SS'!B:B)-TIME(0,30,0)</f>
        <v>0.214583333333333</v>
      </c>
    </row>
    <row r="19" spans="1:23">
      <c r="A19" s="6">
        <v>45887</v>
      </c>
      <c r="K19" s="4">
        <f>MOD(AUG!J19-AUG!I19,1)</f>
        <v>0</v>
      </c>
      <c r="L19" s="4">
        <f>IF(AUG!I19&lt;AUG!V19,MIN(AUG!V19-AUG!I19,AUG!K19),0)</f>
        <v>0</v>
      </c>
      <c r="M19" s="4">
        <f>AUG!K19-AUG!L19</f>
        <v>0</v>
      </c>
      <c r="N19" s="4">
        <f>AUG!K19-AUG!L19</f>
        <v>0</v>
      </c>
      <c r="O19" s="4">
        <v>0</v>
      </c>
      <c r="P19" s="4">
        <v>0</v>
      </c>
      <c r="Q19" s="9"/>
      <c r="R19" s="9"/>
      <c r="S19" s="9"/>
      <c r="V19" s="2">
        <f>_xlfn.XLOOKUP(AUG!A:A,'SR-SS'!A:A,'SR-SS'!C:C)+TIME(0,30,0)</f>
        <v>0.818055555555556</v>
      </c>
      <c r="W19" s="2">
        <f>_xlfn.XLOOKUP(AUG!A:A,'SR-SS'!A:A,'SR-SS'!B:B)-TIME(0,30,0)</f>
        <v>0.214583333333333</v>
      </c>
    </row>
    <row r="20" spans="1:23">
      <c r="A20" s="6">
        <v>45888</v>
      </c>
      <c r="K20" s="4">
        <f>MOD(AUG!J20-AUG!I20,1)</f>
        <v>0</v>
      </c>
      <c r="L20" s="4">
        <f>IF(AUG!I20&lt;AUG!V20,MIN(AUG!V20-AUG!I20,AUG!K20),0)</f>
        <v>0</v>
      </c>
      <c r="M20" s="4">
        <f>AUG!K20-AUG!L20</f>
        <v>0</v>
      </c>
      <c r="N20" s="4">
        <f>AUG!K20-AUG!L20</f>
        <v>0</v>
      </c>
      <c r="O20" s="4">
        <v>0</v>
      </c>
      <c r="P20" s="4">
        <v>0</v>
      </c>
      <c r="Q20" s="9"/>
      <c r="R20" s="9"/>
      <c r="S20" s="9"/>
      <c r="V20" s="2">
        <f>_xlfn.XLOOKUP(AUG!A:A,'SR-SS'!A:A,'SR-SS'!C:C)+TIME(0,30,0)</f>
        <v>0.817361111111111</v>
      </c>
      <c r="W20" s="2">
        <f>_xlfn.XLOOKUP(AUG!A:A,'SR-SS'!A:A,'SR-SS'!B:B)-TIME(0,30,0)</f>
        <v>0.215277777777778</v>
      </c>
    </row>
    <row r="21" spans="1:23">
      <c r="A21" s="6">
        <v>45889</v>
      </c>
      <c r="K21" s="4">
        <f>MOD(AUG!J21-AUG!I21,1)</f>
        <v>0</v>
      </c>
      <c r="L21" s="4">
        <f>IF(AUG!I21&lt;AUG!V21,MIN(AUG!V21-AUG!I21,AUG!K21),0)</f>
        <v>0</v>
      </c>
      <c r="M21" s="4">
        <f>AUG!K21-AUG!L21</f>
        <v>0</v>
      </c>
      <c r="N21" s="4">
        <f>AUG!K21-AUG!L21</f>
        <v>0</v>
      </c>
      <c r="O21" s="4">
        <v>0</v>
      </c>
      <c r="P21" s="4">
        <v>0</v>
      </c>
      <c r="Q21" s="9"/>
      <c r="R21" s="9"/>
      <c r="S21" s="9"/>
      <c r="V21" s="2">
        <f>_xlfn.XLOOKUP(AUG!A:A,'SR-SS'!A:A,'SR-SS'!C:C)+TIME(0,30,0)</f>
        <v>0.815972222222222</v>
      </c>
      <c r="W21" s="2">
        <f>_xlfn.XLOOKUP(AUG!A:A,'SR-SS'!A:A,'SR-SS'!B:B)-TIME(0,30,0)</f>
        <v>0.215972222222222</v>
      </c>
    </row>
    <row r="22" spans="1:23">
      <c r="A22" s="6">
        <v>45890</v>
      </c>
      <c r="K22" s="4">
        <f>MOD(AUG!J22-AUG!I22,1)</f>
        <v>0</v>
      </c>
      <c r="L22" s="4">
        <f>IF(AUG!I22&lt;AUG!V22,MIN(AUG!V22-AUG!I22,AUG!K22),0)</f>
        <v>0</v>
      </c>
      <c r="M22" s="4">
        <f>AUG!K22-AUG!L22</f>
        <v>0</v>
      </c>
      <c r="N22" s="4">
        <f>AUG!K22-AUG!L22</f>
        <v>0</v>
      </c>
      <c r="O22" s="4">
        <v>0</v>
      </c>
      <c r="P22" s="4">
        <v>0</v>
      </c>
      <c r="Q22" s="9"/>
      <c r="R22" s="9"/>
      <c r="S22" s="9"/>
      <c r="V22" s="2">
        <f>_xlfn.XLOOKUP(AUG!A:A,'SR-SS'!A:A,'SR-SS'!C:C)+TIME(0,30,0)</f>
        <v>0.815277777777778</v>
      </c>
      <c r="W22" s="2">
        <f>_xlfn.XLOOKUP(AUG!A:A,'SR-SS'!A:A,'SR-SS'!B:B)-TIME(0,30,0)</f>
        <v>0.216666666666667</v>
      </c>
    </row>
    <row r="23" spans="1:23">
      <c r="A23" s="6">
        <v>45891</v>
      </c>
      <c r="K23" s="4">
        <f>MOD(AUG!J23-AUG!I23,1)</f>
        <v>0</v>
      </c>
      <c r="L23" s="4">
        <f>IF(AUG!I23&lt;AUG!V23,MIN(AUG!V23-AUG!I23,AUG!K23),0)</f>
        <v>0</v>
      </c>
      <c r="M23" s="4">
        <f>AUG!K23-AUG!L23</f>
        <v>0</v>
      </c>
      <c r="N23" s="4">
        <f>AUG!K23-AUG!L23</f>
        <v>0</v>
      </c>
      <c r="O23" s="4">
        <v>0</v>
      </c>
      <c r="P23" s="4">
        <v>0</v>
      </c>
      <c r="Q23" s="9"/>
      <c r="R23" s="9"/>
      <c r="S23" s="9"/>
      <c r="V23" s="2">
        <f>_xlfn.XLOOKUP(AUG!A:A,'SR-SS'!A:A,'SR-SS'!C:C)+TIME(0,30,0)</f>
        <v>0.814583333333333</v>
      </c>
      <c r="W23" s="2">
        <f>_xlfn.XLOOKUP(AUG!A:A,'SR-SS'!A:A,'SR-SS'!B:B)-TIME(0,30,0)</f>
        <v>0.217361111111111</v>
      </c>
    </row>
    <row r="24" spans="1:23">
      <c r="A24" s="6">
        <v>45892</v>
      </c>
      <c r="K24" s="4">
        <f>MOD(AUG!J24-AUG!I24,1)</f>
        <v>0</v>
      </c>
      <c r="L24" s="4">
        <f>IF(AUG!I24&lt;AUG!V24,MIN(AUG!V24-AUG!I24,AUG!K24),0)</f>
        <v>0</v>
      </c>
      <c r="M24" s="4">
        <f>AUG!K24-AUG!L24</f>
        <v>0</v>
      </c>
      <c r="N24" s="4">
        <f>AUG!K24-AUG!L24</f>
        <v>0</v>
      </c>
      <c r="O24" s="4">
        <v>0</v>
      </c>
      <c r="P24" s="4">
        <v>0</v>
      </c>
      <c r="Q24" s="9"/>
      <c r="R24" s="9"/>
      <c r="S24" s="9"/>
      <c r="V24" s="2">
        <f>_xlfn.XLOOKUP(AUG!A:A,'SR-SS'!A:A,'SR-SS'!C:C)+TIME(0,30,0)</f>
        <v>0.813194444444444</v>
      </c>
      <c r="W24" s="2">
        <f>_xlfn.XLOOKUP(AUG!A:A,'SR-SS'!A:A,'SR-SS'!B:B)-TIME(0,30,0)</f>
        <v>0.218055555555556</v>
      </c>
    </row>
    <row r="25" spans="1:23">
      <c r="A25" s="6">
        <v>45893</v>
      </c>
      <c r="K25" s="4">
        <f>MOD(AUG!J25-AUG!I25,1)</f>
        <v>0</v>
      </c>
      <c r="L25" s="4">
        <f>IF(AUG!I25&lt;AUG!V25,MIN(AUG!V25-AUG!I25,AUG!K25),0)</f>
        <v>0</v>
      </c>
      <c r="M25" s="4">
        <f>AUG!K25-AUG!L25</f>
        <v>0</v>
      </c>
      <c r="N25" s="4">
        <f>AUG!K25-AUG!L25</f>
        <v>0</v>
      </c>
      <c r="O25" s="4">
        <v>0</v>
      </c>
      <c r="P25" s="4">
        <v>0</v>
      </c>
      <c r="Q25" s="9"/>
      <c r="R25" s="9"/>
      <c r="S25" s="9"/>
      <c r="V25" s="2">
        <f>_xlfn.XLOOKUP(AUG!A:A,'SR-SS'!A:A,'SR-SS'!C:C)+TIME(0,30,0)</f>
        <v>0.8125</v>
      </c>
      <c r="W25" s="2">
        <f>_xlfn.XLOOKUP(AUG!A:A,'SR-SS'!A:A,'SR-SS'!B:B)-TIME(0,30,0)</f>
        <v>0.218055555555556</v>
      </c>
    </row>
    <row r="26" spans="1:23">
      <c r="A26" s="6">
        <v>45894</v>
      </c>
      <c r="K26" s="4">
        <f>MOD(AUG!J26-AUG!I26,1)</f>
        <v>0</v>
      </c>
      <c r="L26" s="4">
        <f>IF(AUG!I26&lt;AUG!V26,MIN(AUG!V26-AUG!I26,AUG!K26),0)</f>
        <v>0</v>
      </c>
      <c r="M26" s="4">
        <f>AUG!K26-AUG!L26</f>
        <v>0</v>
      </c>
      <c r="N26" s="4">
        <f>AUG!K26-AUG!L26</f>
        <v>0</v>
      </c>
      <c r="O26" s="4">
        <v>0</v>
      </c>
      <c r="P26" s="4">
        <v>0</v>
      </c>
      <c r="Q26" s="9"/>
      <c r="R26" s="9"/>
      <c r="S26" s="9"/>
      <c r="V26" s="2">
        <f>_xlfn.XLOOKUP(AUG!A:A,'SR-SS'!A:A,'SR-SS'!C:C)+TIME(0,30,0)</f>
        <v>0.811805555555556</v>
      </c>
      <c r="W26" s="2">
        <f>_xlfn.XLOOKUP(AUG!A:A,'SR-SS'!A:A,'SR-SS'!B:B)-TIME(0,30,0)</f>
        <v>0.21875</v>
      </c>
    </row>
    <row r="27" spans="1:23">
      <c r="A27" s="6">
        <v>45895</v>
      </c>
      <c r="K27" s="4">
        <f>MOD(AUG!J27-AUG!I27,1)</f>
        <v>0</v>
      </c>
      <c r="L27" s="4">
        <f>IF(AUG!I27&lt;AUG!V27,MIN(AUG!V27-AUG!I27,AUG!K27),0)</f>
        <v>0</v>
      </c>
      <c r="M27" s="4">
        <f>AUG!K27-AUG!L27</f>
        <v>0</v>
      </c>
      <c r="N27" s="4">
        <f>AUG!K27-AUG!L27</f>
        <v>0</v>
      </c>
      <c r="O27" s="4">
        <v>0</v>
      </c>
      <c r="P27" s="4">
        <v>0</v>
      </c>
      <c r="Q27" s="9"/>
      <c r="R27" s="9"/>
      <c r="S27" s="9"/>
      <c r="V27" s="2">
        <f>_xlfn.XLOOKUP(AUG!A:A,'SR-SS'!A:A,'SR-SS'!C:C)+TIME(0,30,0)</f>
        <v>0.810416666666667</v>
      </c>
      <c r="W27" s="2">
        <f>_xlfn.XLOOKUP(AUG!A:A,'SR-SS'!A:A,'SR-SS'!B:B)-TIME(0,30,0)</f>
        <v>0.219444444444444</v>
      </c>
    </row>
    <row r="28" spans="1:23">
      <c r="A28" s="6">
        <v>45896</v>
      </c>
      <c r="K28" s="4">
        <f>MOD(AUG!J28-AUG!I28,1)</f>
        <v>0</v>
      </c>
      <c r="L28" s="4">
        <f>IF(AUG!I28&lt;AUG!V28,MIN(AUG!V28-AUG!I28,AUG!K28),0)</f>
        <v>0</v>
      </c>
      <c r="M28" s="4">
        <f>AUG!K28-AUG!L28</f>
        <v>0</v>
      </c>
      <c r="N28" s="4">
        <f>AUG!K28-AUG!L28</f>
        <v>0</v>
      </c>
      <c r="O28" s="4">
        <v>0</v>
      </c>
      <c r="P28" s="4">
        <v>0</v>
      </c>
      <c r="Q28" s="9"/>
      <c r="R28" s="9"/>
      <c r="S28" s="9"/>
      <c r="V28" s="2">
        <f>_xlfn.XLOOKUP(AUG!A:A,'SR-SS'!A:A,'SR-SS'!C:C)+TIME(0,30,0)</f>
        <v>0.809722222222222</v>
      </c>
      <c r="W28" s="2">
        <f>_xlfn.XLOOKUP(AUG!A:A,'SR-SS'!A:A,'SR-SS'!B:B)-TIME(0,30,0)</f>
        <v>0.220138888888889</v>
      </c>
    </row>
    <row r="29" spans="1:23">
      <c r="A29" s="6">
        <v>45897</v>
      </c>
      <c r="K29" s="4">
        <f>MOD(AUG!J29-AUG!I29,1)</f>
        <v>0</v>
      </c>
      <c r="L29" s="4">
        <f>IF(AUG!I29&lt;AUG!V29,MIN(AUG!V29-AUG!I29,AUG!K29),0)</f>
        <v>0</v>
      </c>
      <c r="M29" s="4">
        <f>AUG!K29-AUG!L29</f>
        <v>0</v>
      </c>
      <c r="N29" s="4">
        <f>AUG!K29-AUG!L29</f>
        <v>0</v>
      </c>
      <c r="O29" s="4">
        <v>0</v>
      </c>
      <c r="P29" s="4">
        <v>0</v>
      </c>
      <c r="Q29" s="9"/>
      <c r="R29" s="9"/>
      <c r="S29" s="9"/>
      <c r="V29" s="2">
        <f>_xlfn.XLOOKUP(AUG!A:A,'SR-SS'!A:A,'SR-SS'!C:C)+TIME(0,30,0)</f>
        <v>0.808333333333333</v>
      </c>
      <c r="W29" s="2">
        <f>_xlfn.XLOOKUP(AUG!A:A,'SR-SS'!A:A,'SR-SS'!B:B)-TIME(0,30,0)</f>
        <v>0.220833333333333</v>
      </c>
    </row>
    <row r="30" spans="1:23">
      <c r="A30" s="6">
        <v>45898</v>
      </c>
      <c r="K30" s="4">
        <f>MOD(AUG!J30-AUG!I30,1)</f>
        <v>0</v>
      </c>
      <c r="L30" s="4">
        <f>IF(AUG!I30&lt;AUG!V30,MIN(AUG!V30-AUG!I30,AUG!K30),0)</f>
        <v>0</v>
      </c>
      <c r="M30" s="4">
        <f>AUG!K30-AUG!L30</f>
        <v>0</v>
      </c>
      <c r="N30" s="4">
        <f>AUG!K30-AUG!L30</f>
        <v>0</v>
      </c>
      <c r="O30" s="4">
        <v>0</v>
      </c>
      <c r="P30" s="4">
        <v>0</v>
      </c>
      <c r="Q30" s="9"/>
      <c r="R30" s="9"/>
      <c r="S30" s="9"/>
      <c r="V30" s="2">
        <f>_xlfn.XLOOKUP(AUG!A:A,'SR-SS'!A:A,'SR-SS'!C:C)+TIME(0,30,0)</f>
        <v>0.807638888888889</v>
      </c>
      <c r="W30" s="2">
        <f>_xlfn.XLOOKUP(AUG!A:A,'SR-SS'!A:A,'SR-SS'!B:B)-TIME(0,30,0)</f>
        <v>0.221527777777778</v>
      </c>
    </row>
    <row r="31" spans="1:23">
      <c r="A31" s="6">
        <v>45899</v>
      </c>
      <c r="K31" s="4">
        <f>MOD(AUG!J31-AUG!I31,1)</f>
        <v>0</v>
      </c>
      <c r="L31" s="4">
        <f>IF(AUG!I31&lt;AUG!V31,MIN(AUG!V31-AUG!I31,AUG!K31),0)</f>
        <v>0</v>
      </c>
      <c r="M31" s="4">
        <f>AUG!K31-AUG!L31</f>
        <v>0</v>
      </c>
      <c r="N31" s="4">
        <f>AUG!K31-AUG!L31</f>
        <v>0</v>
      </c>
      <c r="O31" s="4">
        <v>0</v>
      </c>
      <c r="P31" s="4">
        <v>0</v>
      </c>
      <c r="Q31" s="9"/>
      <c r="R31" s="9"/>
      <c r="S31" s="9"/>
      <c r="V31" s="2">
        <f>_xlfn.XLOOKUP(AUG!A:A,'SR-SS'!A:A,'SR-SS'!C:C)+TIME(0,30,0)</f>
        <v>0.80625</v>
      </c>
      <c r="W31" s="2">
        <f>_xlfn.XLOOKUP(AUG!A:A,'SR-SS'!A:A,'SR-SS'!B:B)-TIME(0,30,0)</f>
        <v>0.221527777777778</v>
      </c>
    </row>
    <row r="32" spans="1:23">
      <c r="A32" s="6">
        <v>45900</v>
      </c>
      <c r="K32" s="4">
        <f>MOD(AUG!J32-AUG!I32,1)</f>
        <v>0</v>
      </c>
      <c r="L32" s="4">
        <f>IF(AUG!I32&lt;AUG!V32,MIN(AUG!V32-AUG!I32,AUG!K32),0)</f>
        <v>0</v>
      </c>
      <c r="M32" s="4">
        <f>AUG!K32-AUG!L32</f>
        <v>0</v>
      </c>
      <c r="N32" s="4">
        <f>AUG!K32-AUG!L32</f>
        <v>0</v>
      </c>
      <c r="O32" s="4">
        <v>0</v>
      </c>
      <c r="P32" s="4">
        <v>0</v>
      </c>
      <c r="Q32" s="9"/>
      <c r="R32" s="9"/>
      <c r="S32" s="9"/>
      <c r="V32" s="2">
        <f>_xlfn.XLOOKUP(AUG!A:A,'SR-SS'!A:A,'SR-SS'!C:C)+TIME(0,30,0)</f>
        <v>0.805555555555556</v>
      </c>
      <c r="W32" s="2">
        <f>_xlfn.XLOOKUP(AUG!A:A,'SR-SS'!A:A,'SR-SS'!B:B)-TIME(0,30,0)</f>
        <v>0.222222222222222</v>
      </c>
    </row>
    <row r="33" spans="1:19">
      <c r="A33" s="6" t="s">
        <v>39</v>
      </c>
      <c r="K33" s="7">
        <f>SUM(Table12[Flight Duration])</f>
        <v>0</v>
      </c>
      <c r="L33" s="4">
        <f>SUM(Table12[Day Duration])</f>
        <v>0</v>
      </c>
      <c r="M33" s="4">
        <f>SUM(Table12[Night Duration])</f>
        <v>0</v>
      </c>
      <c r="N33" s="4">
        <f>SUM(Table12[NVG Duration])</f>
        <v>0</v>
      </c>
      <c r="O33" s="4">
        <f>SUM(Table12[Simulated IFR])</f>
        <v>0</v>
      </c>
      <c r="P33" s="4">
        <f>SUM(Table12[Real IFR])</f>
        <v>0</v>
      </c>
      <c r="Q33" s="9">
        <f>SUM(Table12[Takeoffs])</f>
        <v>0</v>
      </c>
      <c r="R33" s="9">
        <f>SUM(Table12[Landings])</f>
        <v>0</v>
      </c>
      <c r="S33" s="9">
        <f>SUM(Table12[Inst. Apps])</f>
        <v>0</v>
      </c>
    </row>
  </sheetData>
  <printOptions headings="1"/>
  <pageMargins left="0.75" right="0.75" top="1" bottom="1" header="0.5" footer="0.5"/>
  <pageSetup paperSize="9" scale="40" fitToWidth="0" fitToHeight="0" orientation="landscape" horizontalDpi="600" verticalDpi="600"/>
  <headerFooter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2"/>
  <sheetViews>
    <sheetView topLeftCell="M1" workbookViewId="0">
      <selection activeCell="I1" sqref="I$1:I$1048576"/>
    </sheetView>
  </sheetViews>
  <sheetFormatPr defaultColWidth="9" defaultRowHeight="14.25"/>
  <cols>
    <col min="1" max="1" width="10.7890625" style="6" customWidth="1"/>
    <col min="2" max="2" width="16.5546875" style="1" customWidth="1"/>
    <col min="3" max="3" width="18.375" style="1" customWidth="1"/>
    <col min="4" max="4" width="17.7265625" style="1" customWidth="1"/>
    <col min="5" max="5" width="15.90625" style="1" customWidth="1"/>
    <col min="6" max="6" width="12.796875" style="1" customWidth="1"/>
    <col min="7" max="8" width="12.421875" style="1" customWidth="1"/>
    <col min="9" max="9" width="13.578125" style="1" customWidth="1"/>
    <col min="10" max="10" width="16.03125" style="1" customWidth="1"/>
    <col min="11" max="11" width="20.1953125" style="1" customWidth="1"/>
    <col min="12" max="12" width="18.6328125" style="1" customWidth="1"/>
    <col min="13" max="13" width="20.1953125" style="1" customWidth="1"/>
    <col min="14" max="14" width="19.28125" style="1" customWidth="1"/>
    <col min="15" max="15" width="18.890625" style="1" customWidth="1"/>
    <col min="16" max="16" width="13.8515625" style="1" customWidth="1"/>
    <col min="17" max="18" width="10.0078125" style="1" customWidth="1"/>
    <col min="19" max="19" width="10.140625" style="1" customWidth="1"/>
    <col min="20" max="20" width="35.8515625" style="1" customWidth="1"/>
    <col min="21" max="21" width="9" style="1"/>
    <col min="22" max="22" width="10.2734375"/>
    <col min="23" max="23" width="10.2734375" style="4"/>
    <col min="24" max="16384" width="9" style="1"/>
  </cols>
  <sheetData>
    <row r="1" s="5" customFormat="1" spans="1:23">
      <c r="A1" s="5" t="s">
        <v>0</v>
      </c>
      <c r="B1" s="5" t="s">
        <v>1</v>
      </c>
      <c r="C1" s="5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5" t="s">
        <v>10</v>
      </c>
      <c r="L1" s="5" t="s">
        <v>11</v>
      </c>
      <c r="M1" s="5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" t="s">
        <v>18</v>
      </c>
      <c r="T1" s="1" t="s">
        <v>19</v>
      </c>
      <c r="V1" s="11" t="s">
        <v>20</v>
      </c>
      <c r="W1" s="11" t="s">
        <v>21</v>
      </c>
    </row>
    <row r="2" spans="1:23">
      <c r="A2" s="6">
        <v>45901</v>
      </c>
      <c r="K2" s="4">
        <f>MOD(SEP!J2-SEP!I2,1)</f>
        <v>0</v>
      </c>
      <c r="L2" s="4">
        <f>IF(SEP!I2&lt;SEP!V2,MIN(SEP!V2-SEP!I2,SEP!K2),0)</f>
        <v>0</v>
      </c>
      <c r="M2" s="4">
        <f>SEP!K2-SEP!L2</f>
        <v>0</v>
      </c>
      <c r="N2" s="4">
        <f>SEP!K2-SEP!L2</f>
        <v>0</v>
      </c>
      <c r="O2" s="4">
        <v>0</v>
      </c>
      <c r="P2" s="4">
        <v>0</v>
      </c>
      <c r="Q2" s="9"/>
      <c r="R2" s="9"/>
      <c r="S2" s="9"/>
      <c r="V2" s="2">
        <f>_xlfn.XLOOKUP(SEP!A:A,'SR-SS'!A:A,'SR-SS'!C:C)+TIME(0,30,0)</f>
        <v>0.804861111111111</v>
      </c>
      <c r="W2" s="2">
        <f>_xlfn.XLOOKUP(SEP!A:A,'SR-SS'!A:A,'SR-SS'!B:B)-TIME(0,30,0)</f>
        <v>0.222916666666667</v>
      </c>
    </row>
    <row r="3" spans="1:23">
      <c r="A3" s="6">
        <v>45902</v>
      </c>
      <c r="K3" s="4">
        <f>MOD(SEP!J3-SEP!I3,1)</f>
        <v>0</v>
      </c>
      <c r="L3" s="4">
        <f>IF(SEP!I3&lt;SEP!V3,MIN(SEP!V3-SEP!I3,SEP!K3),0)</f>
        <v>0</v>
      </c>
      <c r="M3" s="4">
        <f>SEP!K3-SEP!L3</f>
        <v>0</v>
      </c>
      <c r="N3" s="4">
        <f>SEP!K3-SEP!L3</f>
        <v>0</v>
      </c>
      <c r="O3" s="4">
        <v>0</v>
      </c>
      <c r="P3" s="4">
        <v>0</v>
      </c>
      <c r="Q3" s="9"/>
      <c r="R3" s="9"/>
      <c r="S3" s="9"/>
      <c r="V3" s="2">
        <f>_xlfn.XLOOKUP(SEP!A:A,'SR-SS'!A:A,'SR-SS'!C:C)+TIME(0,30,0)</f>
        <v>0.803472222222222</v>
      </c>
      <c r="W3" s="2">
        <f>_xlfn.XLOOKUP(SEP!A:A,'SR-SS'!A:A,'SR-SS'!B:B)-TIME(0,30,0)</f>
        <v>0.223611111111111</v>
      </c>
    </row>
    <row r="4" spans="1:23">
      <c r="A4" s="6">
        <v>45903</v>
      </c>
      <c r="K4" s="4">
        <f>MOD(SEP!J4-SEP!I4,1)</f>
        <v>0</v>
      </c>
      <c r="L4" s="4">
        <f>IF(SEP!I4&lt;SEP!V4,MIN(SEP!V4-SEP!I4,SEP!K4),0)</f>
        <v>0</v>
      </c>
      <c r="M4" s="4">
        <f>SEP!K4-SEP!L4</f>
        <v>0</v>
      </c>
      <c r="N4" s="4">
        <f>SEP!K4-SEP!L4</f>
        <v>0</v>
      </c>
      <c r="O4" s="4">
        <v>0</v>
      </c>
      <c r="P4" s="4">
        <v>0</v>
      </c>
      <c r="Q4" s="9"/>
      <c r="R4" s="9"/>
      <c r="S4" s="9"/>
      <c r="V4" s="2">
        <f>_xlfn.XLOOKUP(SEP!A:A,'SR-SS'!A:A,'SR-SS'!C:C)+TIME(0,30,0)</f>
        <v>0.802777777777778</v>
      </c>
      <c r="W4" s="2">
        <f>_xlfn.XLOOKUP(SEP!A:A,'SR-SS'!A:A,'SR-SS'!B:B)-TIME(0,30,0)</f>
        <v>0.224305555555556</v>
      </c>
    </row>
    <row r="5" spans="1:23">
      <c r="A5" s="6">
        <v>45904</v>
      </c>
      <c r="K5" s="4">
        <f>MOD(SEP!J5-SEP!I5,1)</f>
        <v>0</v>
      </c>
      <c r="L5" s="4">
        <f>IF(SEP!I5&lt;SEP!V5,MIN(SEP!V5-SEP!I5,SEP!K5),0)</f>
        <v>0</v>
      </c>
      <c r="M5" s="4">
        <f>SEP!K5-SEP!L5</f>
        <v>0</v>
      </c>
      <c r="N5" s="4">
        <f>SEP!K5-SEP!L5</f>
        <v>0</v>
      </c>
      <c r="O5" s="4">
        <v>0</v>
      </c>
      <c r="P5" s="4">
        <v>0</v>
      </c>
      <c r="Q5" s="9"/>
      <c r="R5" s="9"/>
      <c r="S5" s="9"/>
      <c r="V5" s="2">
        <f>_xlfn.XLOOKUP(SEP!A:A,'SR-SS'!A:A,'SR-SS'!C:C)+TIME(0,30,0)</f>
        <v>0.801388888888889</v>
      </c>
      <c r="W5" s="2">
        <f>_xlfn.XLOOKUP(SEP!A:A,'SR-SS'!A:A,'SR-SS'!B:B)-TIME(0,30,0)</f>
        <v>0.225</v>
      </c>
    </row>
    <row r="6" spans="1:23">
      <c r="A6" s="6">
        <v>45905</v>
      </c>
      <c r="K6" s="4">
        <f>MOD(SEP!J6-SEP!I6,1)</f>
        <v>0</v>
      </c>
      <c r="L6" s="4">
        <f>IF(SEP!I6&lt;SEP!V6,MIN(SEP!V6-SEP!I6,SEP!K6),0)</f>
        <v>0</v>
      </c>
      <c r="M6" s="4">
        <f>SEP!K6-SEP!L6</f>
        <v>0</v>
      </c>
      <c r="N6" s="4">
        <f>SEP!K6-SEP!L6</f>
        <v>0</v>
      </c>
      <c r="O6" s="4">
        <v>0</v>
      </c>
      <c r="P6" s="4">
        <v>0</v>
      </c>
      <c r="Q6" s="9"/>
      <c r="R6" s="9"/>
      <c r="S6" s="9"/>
      <c r="V6" s="2">
        <f>_xlfn.XLOOKUP(SEP!A:A,'SR-SS'!A:A,'SR-SS'!C:C)+TIME(0,30,0)</f>
        <v>0.800694444444444</v>
      </c>
      <c r="W6" s="2">
        <f>_xlfn.XLOOKUP(SEP!A:A,'SR-SS'!A:A,'SR-SS'!B:B)-TIME(0,30,0)</f>
        <v>0.225</v>
      </c>
    </row>
    <row r="7" spans="1:23">
      <c r="A7" s="6">
        <v>45906</v>
      </c>
      <c r="K7" s="4">
        <f>MOD(SEP!J7-SEP!I7,1)</f>
        <v>0</v>
      </c>
      <c r="L7" s="4">
        <f>IF(SEP!I7&lt;SEP!V7,MIN(SEP!V7-SEP!I7,SEP!K7),0)</f>
        <v>0</v>
      </c>
      <c r="M7" s="4">
        <f>SEP!K7-SEP!L7</f>
        <v>0</v>
      </c>
      <c r="N7" s="4">
        <f>SEP!K7-SEP!L7</f>
        <v>0</v>
      </c>
      <c r="O7" s="4">
        <v>0</v>
      </c>
      <c r="P7" s="4">
        <v>0</v>
      </c>
      <c r="Q7" s="9"/>
      <c r="R7" s="9"/>
      <c r="S7" s="9"/>
      <c r="V7" s="2">
        <f>_xlfn.XLOOKUP(SEP!A:A,'SR-SS'!A:A,'SR-SS'!C:C)+TIME(0,30,0)</f>
        <v>0.799305555555556</v>
      </c>
      <c r="W7" s="2">
        <f>_xlfn.XLOOKUP(SEP!A:A,'SR-SS'!A:A,'SR-SS'!B:B)-TIME(0,30,0)</f>
        <v>0.225694444444444</v>
      </c>
    </row>
    <row r="8" spans="1:23">
      <c r="A8" s="6">
        <v>45907</v>
      </c>
      <c r="K8" s="4">
        <f>MOD(SEP!J8-SEP!I8,1)</f>
        <v>0</v>
      </c>
      <c r="L8" s="4">
        <f>IF(SEP!I8&lt;SEP!V8,MIN(SEP!V8-SEP!I8,SEP!K8),0)</f>
        <v>0</v>
      </c>
      <c r="M8" s="4">
        <f>SEP!K8-SEP!L8</f>
        <v>0</v>
      </c>
      <c r="N8" s="4">
        <f>SEP!K8-SEP!L8</f>
        <v>0</v>
      </c>
      <c r="O8" s="4">
        <v>0</v>
      </c>
      <c r="P8" s="4">
        <v>0</v>
      </c>
      <c r="Q8" s="9"/>
      <c r="R8" s="9"/>
      <c r="S8" s="9"/>
      <c r="V8" s="2">
        <f>_xlfn.XLOOKUP(SEP!A:A,'SR-SS'!A:A,'SR-SS'!C:C)+TIME(0,30,0)</f>
        <v>0.798611111111111</v>
      </c>
      <c r="W8" s="2">
        <f>_xlfn.XLOOKUP(SEP!A:A,'SR-SS'!A:A,'SR-SS'!B:B)-TIME(0,30,0)</f>
        <v>0.226388888888889</v>
      </c>
    </row>
    <row r="9" spans="1:23">
      <c r="A9" s="6">
        <v>45908</v>
      </c>
      <c r="K9" s="4">
        <f>MOD(SEP!J9-SEP!I9,1)</f>
        <v>0</v>
      </c>
      <c r="L9" s="4">
        <f>IF(SEP!I9&lt;SEP!V9,MIN(SEP!V9-SEP!I9,SEP!K9),0)</f>
        <v>0</v>
      </c>
      <c r="M9" s="4">
        <f>SEP!K9-SEP!L9</f>
        <v>0</v>
      </c>
      <c r="N9" s="4">
        <f>SEP!K9-SEP!L9</f>
        <v>0</v>
      </c>
      <c r="O9" s="4">
        <v>0</v>
      </c>
      <c r="P9" s="4">
        <v>0</v>
      </c>
      <c r="Q9" s="9"/>
      <c r="R9" s="9"/>
      <c r="S9" s="9"/>
      <c r="V9" s="2">
        <f>_xlfn.XLOOKUP(SEP!A:A,'SR-SS'!A:A,'SR-SS'!C:C)+TIME(0,30,0)</f>
        <v>0.797222222222222</v>
      </c>
      <c r="W9" s="2">
        <f>_xlfn.XLOOKUP(SEP!A:A,'SR-SS'!A:A,'SR-SS'!B:B)-TIME(0,30,0)</f>
        <v>0.227083333333333</v>
      </c>
    </row>
    <row r="10" spans="1:23">
      <c r="A10" s="6">
        <v>45909</v>
      </c>
      <c r="K10" s="4">
        <f>MOD(SEP!J10-SEP!I10,1)</f>
        <v>0</v>
      </c>
      <c r="L10" s="4">
        <f>IF(SEP!I10&lt;SEP!V10,MIN(SEP!V10-SEP!I10,SEP!K10),0)</f>
        <v>0</v>
      </c>
      <c r="M10" s="4">
        <f>SEP!K10-SEP!L10</f>
        <v>0</v>
      </c>
      <c r="N10" s="4">
        <f>SEP!K10-SEP!L10</f>
        <v>0</v>
      </c>
      <c r="O10" s="4">
        <v>0</v>
      </c>
      <c r="P10" s="4">
        <v>0</v>
      </c>
      <c r="Q10" s="9"/>
      <c r="R10" s="9"/>
      <c r="S10" s="9"/>
      <c r="V10" s="2">
        <f>_xlfn.XLOOKUP(SEP!A:A,'SR-SS'!A:A,'SR-SS'!C:C)+TIME(0,30,0)</f>
        <v>0.796527777777778</v>
      </c>
      <c r="W10" s="2">
        <f>_xlfn.XLOOKUP(SEP!A:A,'SR-SS'!A:A,'SR-SS'!B:B)-TIME(0,30,0)</f>
        <v>0.227777777777778</v>
      </c>
    </row>
    <row r="11" spans="1:23">
      <c r="A11" s="6">
        <v>45910</v>
      </c>
      <c r="I11" s="7"/>
      <c r="J11" s="7"/>
      <c r="K11" s="4">
        <f>MOD(SEP!J11-SEP!I11,1)</f>
        <v>0</v>
      </c>
      <c r="L11" s="4">
        <f>IF(SEP!I11&lt;SEP!V11,MIN(SEP!V11-SEP!I11,SEP!K11),0)</f>
        <v>0</v>
      </c>
      <c r="M11" s="4">
        <f>SEP!K11-SEP!L11</f>
        <v>0</v>
      </c>
      <c r="N11" s="4">
        <f>SEP!K11-SEP!L11</f>
        <v>0</v>
      </c>
      <c r="O11" s="4">
        <v>0</v>
      </c>
      <c r="P11" s="4">
        <v>0</v>
      </c>
      <c r="Q11" s="9"/>
      <c r="R11" s="9"/>
      <c r="S11" s="9"/>
      <c r="V11" s="2">
        <f>_xlfn.XLOOKUP(SEP!A:A,'SR-SS'!A:A,'SR-SS'!C:C)+TIME(0,30,0)</f>
        <v>0.795138888888889</v>
      </c>
      <c r="W11" s="2">
        <f>_xlfn.XLOOKUP(SEP!A:A,'SR-SS'!A:A,'SR-SS'!B:B)-TIME(0,30,0)</f>
        <v>0.227777777777778</v>
      </c>
    </row>
    <row r="12" spans="1:23">
      <c r="A12" s="6">
        <v>45911</v>
      </c>
      <c r="I12" s="7"/>
      <c r="J12" s="7"/>
      <c r="K12" s="4">
        <f>MOD(SEP!J12-SEP!I12,1)</f>
        <v>0</v>
      </c>
      <c r="L12" s="4">
        <f>IF(SEP!I12&lt;SEP!V12,MIN(SEP!V12-SEP!I12,SEP!K12),0)</f>
        <v>0</v>
      </c>
      <c r="M12" s="4">
        <f>SEP!K12-SEP!L12</f>
        <v>0</v>
      </c>
      <c r="N12" s="4">
        <f>SEP!K12-SEP!L12</f>
        <v>0</v>
      </c>
      <c r="O12" s="4">
        <v>0</v>
      </c>
      <c r="P12" s="4">
        <v>0</v>
      </c>
      <c r="Q12" s="9"/>
      <c r="R12" s="9"/>
      <c r="S12" s="9"/>
      <c r="T12" s="10"/>
      <c r="V12" s="2">
        <f>_xlfn.XLOOKUP(SEP!A:A,'SR-SS'!A:A,'SR-SS'!C:C)+TIME(0,30,0)</f>
        <v>0.794444444444445</v>
      </c>
      <c r="W12" s="2">
        <f>_xlfn.XLOOKUP(SEP!A:A,'SR-SS'!A:A,'SR-SS'!B:B)-TIME(0,30,0)</f>
        <v>0.228472222222222</v>
      </c>
    </row>
    <row r="13" spans="1:23">
      <c r="A13" s="6">
        <v>45912</v>
      </c>
      <c r="K13" s="4">
        <f>MOD(SEP!J13-SEP!I13,1)</f>
        <v>0</v>
      </c>
      <c r="L13" s="4">
        <f>IF(SEP!I13&lt;SEP!V13,MIN(SEP!V13-SEP!I13,SEP!K13),0)</f>
        <v>0</v>
      </c>
      <c r="M13" s="4">
        <f>SEP!K13-SEP!L13</f>
        <v>0</v>
      </c>
      <c r="N13" s="4">
        <f>SEP!K13-SEP!L13</f>
        <v>0</v>
      </c>
      <c r="O13" s="4">
        <v>0</v>
      </c>
      <c r="P13" s="4">
        <v>0</v>
      </c>
      <c r="Q13" s="9"/>
      <c r="R13" s="9"/>
      <c r="S13" s="9"/>
      <c r="V13" s="2">
        <f>_xlfn.XLOOKUP(SEP!A:A,'SR-SS'!A:A,'SR-SS'!C:C)+TIME(0,30,0)</f>
        <v>0.793055555555556</v>
      </c>
      <c r="W13" s="2">
        <f>_xlfn.XLOOKUP(SEP!A:A,'SR-SS'!A:A,'SR-SS'!B:B)-TIME(0,30,0)</f>
        <v>0.229166666666667</v>
      </c>
    </row>
    <row r="14" spans="1:23">
      <c r="A14" s="6">
        <v>45913</v>
      </c>
      <c r="K14" s="4">
        <f>MOD(SEP!J14-SEP!I14,1)</f>
        <v>0</v>
      </c>
      <c r="L14" s="4">
        <f>IF(SEP!I14&lt;SEP!V14,MIN(SEP!V14-SEP!I14,SEP!K14),0)</f>
        <v>0</v>
      </c>
      <c r="M14" s="4">
        <f>SEP!K14-SEP!L14</f>
        <v>0</v>
      </c>
      <c r="N14" s="4">
        <f>SEP!K14-SEP!L14</f>
        <v>0</v>
      </c>
      <c r="O14" s="4">
        <v>0</v>
      </c>
      <c r="P14" s="4">
        <v>0</v>
      </c>
      <c r="Q14" s="9"/>
      <c r="R14" s="9"/>
      <c r="S14" s="9"/>
      <c r="V14" s="2">
        <f>_xlfn.XLOOKUP(SEP!A:A,'SR-SS'!A:A,'SR-SS'!C:C)+TIME(0,30,0)</f>
        <v>0.792361111111111</v>
      </c>
      <c r="W14" s="2">
        <f>_xlfn.XLOOKUP(SEP!A:A,'SR-SS'!A:A,'SR-SS'!B:B)-TIME(0,30,0)</f>
        <v>0.229861111111111</v>
      </c>
    </row>
    <row r="15" spans="1:23">
      <c r="A15" s="6">
        <v>45914</v>
      </c>
      <c r="K15" s="4">
        <f>MOD(SEP!J15-SEP!I15,1)</f>
        <v>0</v>
      </c>
      <c r="L15" s="4">
        <f>IF(SEP!I15&lt;SEP!V15,MIN(SEP!V15-SEP!I15,SEP!K15),0)</f>
        <v>0</v>
      </c>
      <c r="M15" s="4">
        <f>SEP!K15-SEP!L15</f>
        <v>0</v>
      </c>
      <c r="N15" s="4">
        <f>SEP!K15-SEP!L15</f>
        <v>0</v>
      </c>
      <c r="O15" s="4">
        <v>0</v>
      </c>
      <c r="P15" s="4">
        <v>0</v>
      </c>
      <c r="Q15" s="9"/>
      <c r="R15" s="9"/>
      <c r="S15" s="9"/>
      <c r="V15" s="2">
        <f>_xlfn.XLOOKUP(SEP!A:A,'SR-SS'!A:A,'SR-SS'!C:C)+TIME(0,30,0)</f>
        <v>0.790972222222222</v>
      </c>
      <c r="W15" s="2">
        <f>_xlfn.XLOOKUP(SEP!A:A,'SR-SS'!A:A,'SR-SS'!B:B)-TIME(0,30,0)</f>
        <v>0.230555555555556</v>
      </c>
    </row>
    <row r="16" spans="1:23">
      <c r="A16" s="6">
        <v>45915</v>
      </c>
      <c r="K16" s="4">
        <f>MOD(SEP!J16-SEP!I16,1)</f>
        <v>0</v>
      </c>
      <c r="L16" s="4">
        <f>IF(SEP!I16&lt;SEP!V16,MIN(SEP!V16-SEP!I16,SEP!K16),0)</f>
        <v>0</v>
      </c>
      <c r="M16" s="4">
        <f>SEP!K16-SEP!L16</f>
        <v>0</v>
      </c>
      <c r="N16" s="4">
        <f>SEP!K16-SEP!L16</f>
        <v>0</v>
      </c>
      <c r="O16" s="4">
        <v>0</v>
      </c>
      <c r="P16" s="4">
        <v>0</v>
      </c>
      <c r="Q16" s="9"/>
      <c r="R16" s="9"/>
      <c r="S16" s="9"/>
      <c r="V16" s="2">
        <f>_xlfn.XLOOKUP(SEP!A:A,'SR-SS'!A:A,'SR-SS'!C:C)+TIME(0,30,0)</f>
        <v>0.790277777777778</v>
      </c>
      <c r="W16" s="2">
        <f>_xlfn.XLOOKUP(SEP!A:A,'SR-SS'!A:A,'SR-SS'!B:B)-TIME(0,30,0)</f>
        <v>0.23125</v>
      </c>
    </row>
    <row r="17" spans="1:23">
      <c r="A17" s="6">
        <v>45916</v>
      </c>
      <c r="K17" s="4">
        <f>MOD(SEP!J17-SEP!I17,1)</f>
        <v>0</v>
      </c>
      <c r="L17" s="4">
        <f>IF(SEP!I17&lt;SEP!V17,MIN(SEP!V17-SEP!I17,SEP!K17),0)</f>
        <v>0</v>
      </c>
      <c r="M17" s="4">
        <f>SEP!K17-SEP!L17</f>
        <v>0</v>
      </c>
      <c r="N17" s="4">
        <f>SEP!K17-SEP!L17</f>
        <v>0</v>
      </c>
      <c r="O17" s="4">
        <v>0</v>
      </c>
      <c r="P17" s="4">
        <v>0</v>
      </c>
      <c r="Q17" s="9"/>
      <c r="R17" s="9"/>
      <c r="S17" s="9"/>
      <c r="V17" s="2">
        <f>_xlfn.XLOOKUP(SEP!A:A,'SR-SS'!A:A,'SR-SS'!C:C)+TIME(0,30,0)</f>
        <v>0.788888888888889</v>
      </c>
      <c r="W17" s="2">
        <f>_xlfn.XLOOKUP(SEP!A:A,'SR-SS'!A:A,'SR-SS'!B:B)-TIME(0,30,0)</f>
        <v>0.23125</v>
      </c>
    </row>
    <row r="18" spans="1:23">
      <c r="A18" s="6">
        <v>45917</v>
      </c>
      <c r="K18" s="4">
        <f>MOD(SEP!J18-SEP!I18,1)</f>
        <v>0</v>
      </c>
      <c r="L18" s="4">
        <f>IF(SEP!I18&lt;SEP!V18,MIN(SEP!V18-SEP!I18,SEP!K18),0)</f>
        <v>0</v>
      </c>
      <c r="M18" s="4">
        <f>SEP!K18-SEP!L18</f>
        <v>0</v>
      </c>
      <c r="N18" s="4">
        <f>SEP!K18-SEP!L18</f>
        <v>0</v>
      </c>
      <c r="O18" s="4">
        <v>0</v>
      </c>
      <c r="P18" s="4">
        <v>0</v>
      </c>
      <c r="Q18" s="9"/>
      <c r="R18" s="9"/>
      <c r="S18" s="9"/>
      <c r="V18" s="2">
        <f>_xlfn.XLOOKUP(SEP!A:A,'SR-SS'!A:A,'SR-SS'!C:C)+TIME(0,30,0)</f>
        <v>0.7875</v>
      </c>
      <c r="W18" s="2">
        <f>_xlfn.XLOOKUP(SEP!A:A,'SR-SS'!A:A,'SR-SS'!B:B)-TIME(0,30,0)</f>
        <v>0.231944444444444</v>
      </c>
    </row>
    <row r="19" spans="1:23">
      <c r="A19" s="6">
        <v>45918</v>
      </c>
      <c r="K19" s="4">
        <f>MOD(SEP!J19-SEP!I19,1)</f>
        <v>0</v>
      </c>
      <c r="L19" s="4">
        <f>IF(SEP!I19&lt;SEP!V19,MIN(SEP!V19-SEP!I19,SEP!K19),0)</f>
        <v>0</v>
      </c>
      <c r="M19" s="4">
        <f>SEP!K19-SEP!L19</f>
        <v>0</v>
      </c>
      <c r="N19" s="4">
        <f>SEP!K19-SEP!L19</f>
        <v>0</v>
      </c>
      <c r="O19" s="4">
        <v>0</v>
      </c>
      <c r="P19" s="4">
        <v>0</v>
      </c>
      <c r="Q19" s="9"/>
      <c r="R19" s="9"/>
      <c r="S19" s="9"/>
      <c r="V19" s="2">
        <f>_xlfn.XLOOKUP(SEP!A:A,'SR-SS'!A:A,'SR-SS'!C:C)+TIME(0,30,0)</f>
        <v>0.786805555555556</v>
      </c>
      <c r="W19" s="2">
        <f>_xlfn.XLOOKUP(SEP!A:A,'SR-SS'!A:A,'SR-SS'!B:B)-TIME(0,30,0)</f>
        <v>0.232638888888889</v>
      </c>
    </row>
    <row r="20" spans="1:23">
      <c r="A20" s="6">
        <v>45919</v>
      </c>
      <c r="K20" s="4">
        <f>MOD(SEP!J20-SEP!I20,1)</f>
        <v>0</v>
      </c>
      <c r="L20" s="4">
        <f>IF(SEP!I20&lt;SEP!V20,MIN(SEP!V20-SEP!I20,SEP!K20),0)</f>
        <v>0</v>
      </c>
      <c r="M20" s="4">
        <f>SEP!K20-SEP!L20</f>
        <v>0</v>
      </c>
      <c r="N20" s="4">
        <f>SEP!K20-SEP!L20</f>
        <v>0</v>
      </c>
      <c r="O20" s="4">
        <v>0</v>
      </c>
      <c r="P20" s="4">
        <v>0</v>
      </c>
      <c r="Q20" s="9"/>
      <c r="R20" s="9"/>
      <c r="S20" s="9"/>
      <c r="V20" s="2">
        <f>_xlfn.XLOOKUP(SEP!A:A,'SR-SS'!A:A,'SR-SS'!C:C)+TIME(0,30,0)</f>
        <v>0.785416666666667</v>
      </c>
      <c r="W20" s="2">
        <f>_xlfn.XLOOKUP(SEP!A:A,'SR-SS'!A:A,'SR-SS'!B:B)-TIME(0,30,0)</f>
        <v>0.233333333333333</v>
      </c>
    </row>
    <row r="21" spans="1:23">
      <c r="A21" s="6">
        <v>45920</v>
      </c>
      <c r="K21" s="4">
        <f>MOD(SEP!J21-SEP!I21,1)</f>
        <v>0</v>
      </c>
      <c r="L21" s="4">
        <f>IF(SEP!I21&lt;SEP!V21,MIN(SEP!V21-SEP!I21,SEP!K21),0)</f>
        <v>0</v>
      </c>
      <c r="M21" s="4">
        <f>SEP!K21-SEP!L21</f>
        <v>0</v>
      </c>
      <c r="N21" s="4">
        <f>SEP!K21-SEP!L21</f>
        <v>0</v>
      </c>
      <c r="O21" s="4">
        <v>0</v>
      </c>
      <c r="P21" s="4">
        <v>0</v>
      </c>
      <c r="Q21" s="9"/>
      <c r="R21" s="9"/>
      <c r="S21" s="9"/>
      <c r="V21" s="2">
        <f>_xlfn.XLOOKUP(SEP!A:A,'SR-SS'!A:A,'SR-SS'!C:C)+TIME(0,30,0)</f>
        <v>0.784722222222222</v>
      </c>
      <c r="W21" s="2">
        <f>_xlfn.XLOOKUP(SEP!A:A,'SR-SS'!A:A,'SR-SS'!B:B)-TIME(0,30,0)</f>
        <v>0.234027777777778</v>
      </c>
    </row>
    <row r="22" spans="1:23">
      <c r="A22" s="6">
        <v>45921</v>
      </c>
      <c r="K22" s="4">
        <f>MOD(SEP!J22-SEP!I22,1)</f>
        <v>0</v>
      </c>
      <c r="L22" s="4">
        <f>IF(SEP!I22&lt;SEP!V22,MIN(SEP!V22-SEP!I22,SEP!K22),0)</f>
        <v>0</v>
      </c>
      <c r="M22" s="4">
        <f>SEP!K22-SEP!L22</f>
        <v>0</v>
      </c>
      <c r="N22" s="4">
        <f>SEP!K22-SEP!L22</f>
        <v>0</v>
      </c>
      <c r="O22" s="4">
        <v>0</v>
      </c>
      <c r="P22" s="4">
        <v>0</v>
      </c>
      <c r="Q22" s="9"/>
      <c r="R22" s="9"/>
      <c r="S22" s="9"/>
      <c r="V22" s="2">
        <f>_xlfn.XLOOKUP(SEP!A:A,'SR-SS'!A:A,'SR-SS'!C:C)+TIME(0,30,0)</f>
        <v>0.783333333333333</v>
      </c>
      <c r="W22" s="2">
        <f>_xlfn.XLOOKUP(SEP!A:A,'SR-SS'!A:A,'SR-SS'!B:B)-TIME(0,30,0)</f>
        <v>0.234027777777778</v>
      </c>
    </row>
    <row r="23" spans="1:23">
      <c r="A23" s="6">
        <v>45922</v>
      </c>
      <c r="K23" s="4">
        <f>MOD(SEP!J23-SEP!I23,1)</f>
        <v>0</v>
      </c>
      <c r="L23" s="4">
        <f>IF(SEP!I23&lt;SEP!V23,MIN(SEP!V23-SEP!I23,SEP!K23),0)</f>
        <v>0</v>
      </c>
      <c r="M23" s="4">
        <f>SEP!K23-SEP!L23</f>
        <v>0</v>
      </c>
      <c r="N23" s="4">
        <f>SEP!K23-SEP!L23</f>
        <v>0</v>
      </c>
      <c r="O23" s="4">
        <v>0</v>
      </c>
      <c r="P23" s="4">
        <v>0</v>
      </c>
      <c r="Q23" s="9"/>
      <c r="R23" s="9"/>
      <c r="S23" s="9"/>
      <c r="V23" s="2">
        <f>_xlfn.XLOOKUP(SEP!A:A,'SR-SS'!A:A,'SR-SS'!C:C)+TIME(0,30,0)</f>
        <v>0.782638888888889</v>
      </c>
      <c r="W23" s="2">
        <f>_xlfn.XLOOKUP(SEP!A:A,'SR-SS'!A:A,'SR-SS'!B:B)-TIME(0,30,0)</f>
        <v>0.234722222222222</v>
      </c>
    </row>
    <row r="24" spans="1:23">
      <c r="A24" s="6">
        <v>45923</v>
      </c>
      <c r="K24" s="4">
        <f>MOD(SEP!J24-SEP!I24,1)</f>
        <v>0</v>
      </c>
      <c r="L24" s="4">
        <f>IF(SEP!I24&lt;SEP!V24,MIN(SEP!V24-SEP!I24,SEP!K24),0)</f>
        <v>0</v>
      </c>
      <c r="M24" s="4">
        <f>SEP!K24-SEP!L24</f>
        <v>0</v>
      </c>
      <c r="N24" s="4">
        <f>SEP!K24-SEP!L24</f>
        <v>0</v>
      </c>
      <c r="O24" s="4">
        <v>0</v>
      </c>
      <c r="P24" s="4">
        <v>0</v>
      </c>
      <c r="Q24" s="9"/>
      <c r="R24" s="9"/>
      <c r="S24" s="9"/>
      <c r="V24" s="2">
        <f>_xlfn.XLOOKUP(SEP!A:A,'SR-SS'!A:A,'SR-SS'!C:C)+TIME(0,30,0)</f>
        <v>0.78125</v>
      </c>
      <c r="W24" s="2">
        <f>_xlfn.XLOOKUP(SEP!A:A,'SR-SS'!A:A,'SR-SS'!B:B)-TIME(0,30,0)</f>
        <v>0.235416666666667</v>
      </c>
    </row>
    <row r="25" spans="1:23">
      <c r="A25" s="6">
        <v>45924</v>
      </c>
      <c r="K25" s="4">
        <f>MOD(SEP!J25-SEP!I25,1)</f>
        <v>0</v>
      </c>
      <c r="L25" s="4">
        <f>IF(SEP!I25&lt;SEP!V25,MIN(SEP!V25-SEP!I25,SEP!K25),0)</f>
        <v>0</v>
      </c>
      <c r="M25" s="4">
        <f>SEP!K25-SEP!L25</f>
        <v>0</v>
      </c>
      <c r="N25" s="4">
        <f>SEP!K25-SEP!L25</f>
        <v>0</v>
      </c>
      <c r="O25" s="4">
        <v>0</v>
      </c>
      <c r="P25" s="4">
        <v>0</v>
      </c>
      <c r="Q25" s="9"/>
      <c r="R25" s="9"/>
      <c r="S25" s="9"/>
      <c r="V25" s="2">
        <f>_xlfn.XLOOKUP(SEP!A:A,'SR-SS'!A:A,'SR-SS'!C:C)+TIME(0,30,0)</f>
        <v>0.780555555555556</v>
      </c>
      <c r="W25" s="2">
        <f>_xlfn.XLOOKUP(SEP!A:A,'SR-SS'!A:A,'SR-SS'!B:B)-TIME(0,30,0)</f>
        <v>0.236111111111111</v>
      </c>
    </row>
    <row r="26" spans="1:23">
      <c r="A26" s="6">
        <v>45925</v>
      </c>
      <c r="K26" s="4">
        <f>MOD(SEP!J26-SEP!I26,1)</f>
        <v>0</v>
      </c>
      <c r="L26" s="4">
        <f>IF(SEP!I26&lt;SEP!V26,MIN(SEP!V26-SEP!I26,SEP!K26),0)</f>
        <v>0</v>
      </c>
      <c r="M26" s="4">
        <f>SEP!K26-SEP!L26</f>
        <v>0</v>
      </c>
      <c r="N26" s="4">
        <f>SEP!K26-SEP!L26</f>
        <v>0</v>
      </c>
      <c r="O26" s="4">
        <v>0</v>
      </c>
      <c r="P26" s="4">
        <v>0</v>
      </c>
      <c r="Q26" s="9"/>
      <c r="R26" s="9"/>
      <c r="S26" s="9"/>
      <c r="V26" s="2">
        <f>_xlfn.XLOOKUP(SEP!A:A,'SR-SS'!A:A,'SR-SS'!C:C)+TIME(0,30,0)</f>
        <v>0.779166666666667</v>
      </c>
      <c r="W26" s="2">
        <f>_xlfn.XLOOKUP(SEP!A:A,'SR-SS'!A:A,'SR-SS'!B:B)-TIME(0,30,0)</f>
        <v>0.236805555555556</v>
      </c>
    </row>
    <row r="27" spans="1:23">
      <c r="A27" s="6">
        <v>45926</v>
      </c>
      <c r="K27" s="4">
        <f>MOD(SEP!J27-SEP!I27,1)</f>
        <v>0</v>
      </c>
      <c r="L27" s="4">
        <f>IF(SEP!I27&lt;SEP!V27,MIN(SEP!V27-SEP!I27,SEP!K27),0)</f>
        <v>0</v>
      </c>
      <c r="M27" s="4">
        <f>SEP!K27-SEP!L27</f>
        <v>0</v>
      </c>
      <c r="N27" s="4">
        <f>SEP!K27-SEP!L27</f>
        <v>0</v>
      </c>
      <c r="O27" s="4">
        <v>0</v>
      </c>
      <c r="P27" s="4">
        <v>0</v>
      </c>
      <c r="Q27" s="9"/>
      <c r="R27" s="9"/>
      <c r="S27" s="9"/>
      <c r="V27" s="2">
        <f>_xlfn.XLOOKUP(SEP!A:A,'SR-SS'!A:A,'SR-SS'!C:C)+TIME(0,30,0)</f>
        <v>0.778472222222222</v>
      </c>
      <c r="W27" s="2">
        <f>_xlfn.XLOOKUP(SEP!A:A,'SR-SS'!A:A,'SR-SS'!B:B)-TIME(0,30,0)</f>
        <v>0.2375</v>
      </c>
    </row>
    <row r="28" spans="1:23">
      <c r="A28" s="6">
        <v>45927</v>
      </c>
      <c r="K28" s="4">
        <f>MOD(SEP!J28-SEP!I28,1)</f>
        <v>0</v>
      </c>
      <c r="L28" s="4">
        <f>IF(SEP!I28&lt;SEP!V28,MIN(SEP!V28-SEP!I28,SEP!K28),0)</f>
        <v>0</v>
      </c>
      <c r="M28" s="4">
        <f>SEP!K28-SEP!L28</f>
        <v>0</v>
      </c>
      <c r="N28" s="4">
        <f>SEP!K28-SEP!L28</f>
        <v>0</v>
      </c>
      <c r="O28" s="4">
        <v>0</v>
      </c>
      <c r="P28" s="4">
        <v>0</v>
      </c>
      <c r="Q28" s="9"/>
      <c r="R28" s="9"/>
      <c r="S28" s="9"/>
      <c r="V28" s="2">
        <f>_xlfn.XLOOKUP(SEP!A:A,'SR-SS'!A:A,'SR-SS'!C:C)+TIME(0,30,0)</f>
        <v>0.777083333333333</v>
      </c>
      <c r="W28" s="2">
        <f>_xlfn.XLOOKUP(SEP!A:A,'SR-SS'!A:A,'SR-SS'!B:B)-TIME(0,30,0)</f>
        <v>0.238194444444444</v>
      </c>
    </row>
    <row r="29" spans="1:23">
      <c r="A29" s="6">
        <v>45928</v>
      </c>
      <c r="K29" s="4">
        <f>MOD(SEP!J29-SEP!I29,1)</f>
        <v>0</v>
      </c>
      <c r="L29" s="4">
        <f>IF(SEP!I29&lt;SEP!V29,MIN(SEP!V29-SEP!I29,SEP!K29),0)</f>
        <v>0</v>
      </c>
      <c r="M29" s="4">
        <f>SEP!K29-SEP!L29</f>
        <v>0</v>
      </c>
      <c r="N29" s="4">
        <f>SEP!K29-SEP!L29</f>
        <v>0</v>
      </c>
      <c r="O29" s="4">
        <v>0</v>
      </c>
      <c r="P29" s="4">
        <v>0</v>
      </c>
      <c r="Q29" s="9"/>
      <c r="R29" s="9"/>
      <c r="S29" s="9"/>
      <c r="V29" s="2">
        <f>_xlfn.XLOOKUP(SEP!A:A,'SR-SS'!A:A,'SR-SS'!C:C)+TIME(0,30,0)</f>
        <v>0.776388888888889</v>
      </c>
      <c r="W29" s="2">
        <f>_xlfn.XLOOKUP(SEP!A:A,'SR-SS'!A:A,'SR-SS'!B:B)-TIME(0,30,0)</f>
        <v>0.238194444444444</v>
      </c>
    </row>
    <row r="30" spans="1:23">
      <c r="A30" s="6">
        <v>45929</v>
      </c>
      <c r="K30" s="4">
        <f>MOD(SEP!J30-SEP!I30,1)</f>
        <v>0</v>
      </c>
      <c r="L30" s="4">
        <f>IF(SEP!I30&lt;SEP!V30,MIN(SEP!V30-SEP!I30,SEP!K30),0)</f>
        <v>0</v>
      </c>
      <c r="M30" s="4">
        <f>SEP!K30-SEP!L30</f>
        <v>0</v>
      </c>
      <c r="N30" s="4">
        <f>SEP!K30-SEP!L30</f>
        <v>0</v>
      </c>
      <c r="O30" s="4">
        <v>0</v>
      </c>
      <c r="P30" s="4">
        <v>0</v>
      </c>
      <c r="Q30" s="9"/>
      <c r="R30" s="9"/>
      <c r="S30" s="9"/>
      <c r="V30" s="2">
        <f>_xlfn.XLOOKUP(SEP!A:A,'SR-SS'!A:A,'SR-SS'!C:C)+TIME(0,30,0)</f>
        <v>0.775</v>
      </c>
      <c r="W30" s="2">
        <f>_xlfn.XLOOKUP(SEP!A:A,'SR-SS'!A:A,'SR-SS'!B:B)-TIME(0,30,0)</f>
        <v>0.238888888888889</v>
      </c>
    </row>
    <row r="31" spans="1:23">
      <c r="A31" s="6">
        <v>45930</v>
      </c>
      <c r="K31" s="4">
        <f>MOD(SEP!J31-SEP!I31,1)</f>
        <v>0</v>
      </c>
      <c r="L31" s="4">
        <f>IF(SEP!I31&lt;SEP!V31,MIN(SEP!V31-SEP!I31,SEP!K31),0)</f>
        <v>0</v>
      </c>
      <c r="M31" s="4">
        <f>SEP!K31-SEP!L31</f>
        <v>0</v>
      </c>
      <c r="N31" s="4">
        <f>SEP!K31-SEP!L31</f>
        <v>0</v>
      </c>
      <c r="O31" s="4">
        <v>0</v>
      </c>
      <c r="P31" s="4">
        <v>0</v>
      </c>
      <c r="Q31" s="9"/>
      <c r="R31" s="9"/>
      <c r="S31" s="9"/>
      <c r="V31" s="2">
        <f>_xlfn.XLOOKUP(SEP!A:A,'SR-SS'!A:A,'SR-SS'!C:C)+TIME(0,30,0)</f>
        <v>0.774305555555556</v>
      </c>
      <c r="W31" s="2">
        <f>_xlfn.XLOOKUP(SEP!A:A,'SR-SS'!A:A,'SR-SS'!B:B)-TIME(0,30,0)</f>
        <v>0.239583333333333</v>
      </c>
    </row>
    <row r="32" spans="1:19">
      <c r="A32" s="6" t="s">
        <v>39</v>
      </c>
      <c r="K32" s="7">
        <f>SUM(Table13[Flight Duration])</f>
        <v>0</v>
      </c>
      <c r="L32" s="4">
        <f>SUM(Table13[Day Duration])</f>
        <v>0</v>
      </c>
      <c r="M32" s="4">
        <f>SUM(Table13[Night Duration])</f>
        <v>0</v>
      </c>
      <c r="N32" s="4">
        <f>SUM(Table13[NVG Duration])</f>
        <v>0</v>
      </c>
      <c r="O32" s="4">
        <f>SUM(Table13[Simulated IFR])</f>
        <v>0</v>
      </c>
      <c r="P32" s="4">
        <f>SUM(Table13[Real IFR])</f>
        <v>0</v>
      </c>
      <c r="Q32" s="9">
        <f>SUM(Table13[Takeoffs])</f>
        <v>0</v>
      </c>
      <c r="R32" s="9">
        <f>SUM(Table13[Landings])</f>
        <v>0</v>
      </c>
      <c r="S32" s="9">
        <f>SUM(Table13[Inst. Apps])</f>
        <v>0</v>
      </c>
    </row>
  </sheetData>
  <printOptions headings="1"/>
  <pageMargins left="0.75" right="0.75" top="1" bottom="1" header="0.5" footer="0.5"/>
  <pageSetup paperSize="9" scale="40" fitToWidth="0" fitToHeight="0" orientation="landscape" horizontalDpi="600" verticalDpi="600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ONLYOFFICE/8.2.0.143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Year Summary</vt:lpstr>
      <vt:lpstr>SR-SS</vt:lpstr>
      <vt:lpstr>Past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helmi</cp:lastModifiedBy>
  <cp:revision>4</cp:revision>
  <dcterms:created xsi:type="dcterms:W3CDTF">2025-04-12T23:08:00Z</dcterms:created>
  <dcterms:modified xsi:type="dcterms:W3CDTF">2025-04-14T11:29:25Z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